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15" windowWidth="28800" windowHeight="16245" activeTab="1"/>
  </bookViews>
  <sheets>
    <sheet name="VP Stacking" sheetId="1" r:id="rId1"/>
    <sheet name="Solo CP run table" sheetId="2" r:id="rId2"/>
    <sheet name="Adamastor" sheetId="3" state="hidden" r:id="rId3"/>
  </sheets>
  <definedNames>
    <definedName name="GUARD_LV" localSheetId="2">Adamastor!$D$2</definedName>
    <definedName name="GUARD_LV">'Solo CP run table'!$D$2</definedName>
    <definedName name="MONST_LV" localSheetId="2">Adamastor!$D$4</definedName>
    <definedName name="MONST_LV">'Solo CP run table'!$D$4</definedName>
    <definedName name="SPEC_LV" localSheetId="2">Adamastor!$D$3</definedName>
    <definedName name="SPEC_LV">'Solo CP run table'!$D$3</definedName>
    <definedName name="VP_GUARD_LV">'VP Stacking'!$D$2</definedName>
    <definedName name="VP_MONST_LV">'VP Stacking'!$D$4</definedName>
    <definedName name="VP_SPEC_LV">'VP Stacking'!$D$3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" l="1"/>
  <c r="A35" i="3"/>
  <c r="A34" i="3"/>
  <c r="AE32" i="3"/>
  <c r="A32" i="3"/>
  <c r="I32" i="3" s="1"/>
  <c r="J32" i="3" s="1"/>
  <c r="AE31" i="3"/>
  <c r="W31" i="3"/>
  <c r="A31" i="3"/>
  <c r="AE30" i="3"/>
  <c r="A30" i="3"/>
  <c r="I30" i="3" s="1"/>
  <c r="J30" i="3" s="1"/>
  <c r="AE29" i="3"/>
  <c r="O29" i="3"/>
  <c r="I29" i="3"/>
  <c r="J29" i="3" s="1"/>
  <c r="A29" i="3"/>
  <c r="AE28" i="3"/>
  <c r="I28" i="3"/>
  <c r="A28" i="3"/>
  <c r="H28" i="3" s="1"/>
  <c r="AE27" i="3"/>
  <c r="W27" i="3"/>
  <c r="I27" i="3"/>
  <c r="A27" i="3"/>
  <c r="H27" i="3" s="1"/>
  <c r="AE26" i="3"/>
  <c r="H26" i="3"/>
  <c r="A26" i="3"/>
  <c r="AE25" i="3"/>
  <c r="A25" i="3"/>
  <c r="AF24" i="3"/>
  <c r="AE23" i="3"/>
  <c r="A23" i="3"/>
  <c r="AE22" i="3"/>
  <c r="W22" i="3"/>
  <c r="R22" i="3"/>
  <c r="A22" i="3"/>
  <c r="AE21" i="3"/>
  <c r="S21" i="3"/>
  <c r="I21" i="3"/>
  <c r="A21" i="3"/>
  <c r="AE20" i="3"/>
  <c r="I20" i="3"/>
  <c r="A20" i="3"/>
  <c r="AE19" i="3"/>
  <c r="I19" i="3"/>
  <c r="A19" i="3"/>
  <c r="AE18" i="3"/>
  <c r="W18" i="3"/>
  <c r="I18" i="3"/>
  <c r="A18" i="3"/>
  <c r="AE17" i="3"/>
  <c r="A17" i="3"/>
  <c r="AE16" i="3"/>
  <c r="I16" i="3"/>
  <c r="A16" i="3"/>
  <c r="AF15" i="3"/>
  <c r="AF14" i="3"/>
  <c r="I14" i="3"/>
  <c r="A14" i="3"/>
  <c r="D14" i="3" s="1"/>
  <c r="G14" i="3" s="1"/>
  <c r="AF13" i="3"/>
  <c r="A13" i="3"/>
  <c r="D13" i="3" s="1"/>
  <c r="G13" i="3" s="1"/>
  <c r="AF12" i="3"/>
  <c r="A12" i="3"/>
  <c r="D12" i="3" s="1"/>
  <c r="G12" i="3" s="1"/>
  <c r="AF11" i="3"/>
  <c r="A11" i="3"/>
  <c r="D11" i="3" s="1"/>
  <c r="G11" i="3" s="1"/>
  <c r="AE10" i="3"/>
  <c r="A10" i="3"/>
  <c r="AE9" i="3"/>
  <c r="W9" i="3"/>
  <c r="A9" i="3"/>
  <c r="AE8" i="3"/>
  <c r="I8" i="3"/>
  <c r="A8" i="3"/>
  <c r="I7" i="3"/>
  <c r="A7" i="3"/>
  <c r="K5" i="3"/>
  <c r="A36" i="2"/>
  <c r="A32" i="2"/>
  <c r="A31" i="2"/>
  <c r="I31" i="2" s="1"/>
  <c r="J31" i="2" s="1"/>
  <c r="A30" i="2"/>
  <c r="A29" i="2"/>
  <c r="I29" i="2" s="1"/>
  <c r="J29" i="2" s="1"/>
  <c r="A28" i="2"/>
  <c r="A27" i="2"/>
  <c r="I27" i="2" s="1"/>
  <c r="A26" i="2"/>
  <c r="A25" i="2"/>
  <c r="I25" i="2" s="1"/>
  <c r="A23" i="2"/>
  <c r="I23" i="2" s="1"/>
  <c r="A22" i="2"/>
  <c r="I22" i="2" s="1"/>
  <c r="A21" i="2"/>
  <c r="A20" i="2"/>
  <c r="I19" i="2"/>
  <c r="A19" i="2"/>
  <c r="A18" i="2"/>
  <c r="I18" i="2" s="1"/>
  <c r="I17" i="2"/>
  <c r="A17" i="2"/>
  <c r="I16" i="2"/>
  <c r="A16" i="2"/>
  <c r="A14" i="2"/>
  <c r="I14" i="2" s="1"/>
  <c r="A13" i="2"/>
  <c r="I13" i="2" s="1"/>
  <c r="A12" i="2"/>
  <c r="I12" i="2" s="1"/>
  <c r="A11" i="2"/>
  <c r="A10" i="2"/>
  <c r="I9" i="2"/>
  <c r="A9" i="2"/>
  <c r="A8" i="2"/>
  <c r="I8" i="2" s="1"/>
  <c r="A7" i="2"/>
  <c r="I7" i="2" s="1"/>
  <c r="K5" i="2"/>
  <c r="I27" i="1"/>
  <c r="E26" i="1"/>
  <c r="C26" i="1"/>
  <c r="A26" i="1"/>
  <c r="E25" i="1"/>
  <c r="C25" i="1"/>
  <c r="A25" i="1"/>
  <c r="I24" i="1"/>
  <c r="E23" i="1"/>
  <c r="A23" i="1" s="1"/>
  <c r="E22" i="1"/>
  <c r="A22" i="1" s="1"/>
  <c r="E21" i="1"/>
  <c r="A21" i="1" s="1"/>
  <c r="E20" i="1"/>
  <c r="A20" i="1" s="1"/>
  <c r="E19" i="1"/>
  <c r="A19" i="1"/>
  <c r="G19" i="1" s="1"/>
  <c r="E18" i="1"/>
  <c r="A18" i="1"/>
  <c r="G18" i="1" s="1"/>
  <c r="E17" i="1"/>
  <c r="A17" i="1"/>
  <c r="G17" i="1" s="1"/>
  <c r="E16" i="1"/>
  <c r="A16" i="1" s="1"/>
  <c r="C15" i="1"/>
  <c r="I15" i="1" s="1"/>
  <c r="G14" i="1"/>
  <c r="E14" i="1"/>
  <c r="A14" i="1"/>
  <c r="E13" i="1"/>
  <c r="A13" i="1" s="1"/>
  <c r="E12" i="1"/>
  <c r="A12" i="1" s="1"/>
  <c r="E11" i="1"/>
  <c r="A11" i="1"/>
  <c r="G11" i="1" s="1"/>
  <c r="E10" i="1"/>
  <c r="A10" i="1"/>
  <c r="G10" i="1" s="1"/>
  <c r="E9" i="1"/>
  <c r="A9" i="1"/>
  <c r="E8" i="1"/>
  <c r="A8" i="1"/>
  <c r="G8" i="1" s="1"/>
  <c r="G7" i="1"/>
  <c r="E7" i="1"/>
  <c r="A7" i="1"/>
  <c r="C6" i="1"/>
  <c r="I6" i="1" s="1"/>
  <c r="I5" i="1"/>
  <c r="D41" i="3"/>
  <c r="D40" i="3"/>
  <c r="D39" i="3"/>
  <c r="D38" i="3"/>
  <c r="D36" i="3"/>
  <c r="D40" i="2"/>
  <c r="D35" i="3"/>
  <c r="D41" i="2"/>
  <c r="D34" i="3"/>
  <c r="D34" i="2"/>
  <c r="D39" i="2"/>
  <c r="D38" i="2"/>
  <c r="G38" i="2" l="1"/>
  <c r="G39" i="2"/>
  <c r="G34" i="2"/>
  <c r="G34" i="3"/>
  <c r="K41" i="2"/>
  <c r="G35" i="3"/>
  <c r="K40" i="2"/>
  <c r="G36" i="3"/>
  <c r="K38" i="3"/>
  <c r="G39" i="3"/>
  <c r="K40" i="3"/>
  <c r="K41" i="3"/>
  <c r="H28" i="2"/>
  <c r="I26" i="2"/>
  <c r="H26" i="2"/>
  <c r="K34" i="3"/>
  <c r="G38" i="3"/>
  <c r="K38" i="2"/>
  <c r="V36" i="3"/>
  <c r="Y36" i="3" s="1"/>
  <c r="AB36" i="3" s="1"/>
  <c r="K39" i="3"/>
  <c r="K36" i="3"/>
  <c r="G40" i="3"/>
  <c r="G41" i="2"/>
  <c r="V35" i="3"/>
  <c r="Y35" i="3" s="1"/>
  <c r="AB35" i="3" s="1"/>
  <c r="K39" i="2"/>
  <c r="V34" i="3"/>
  <c r="Y34" i="3" s="1"/>
  <c r="AB34" i="3" s="1"/>
  <c r="K34" i="2"/>
  <c r="K35" i="3"/>
  <c r="G22" i="1"/>
  <c r="F22" i="1"/>
  <c r="F21" i="1" s="1"/>
  <c r="F20" i="1" s="1"/>
  <c r="F14" i="1" s="1"/>
  <c r="G21" i="1"/>
  <c r="G12" i="1"/>
  <c r="J21" i="3"/>
  <c r="J27" i="3"/>
  <c r="H20" i="3"/>
  <c r="J28" i="3"/>
  <c r="G13" i="1"/>
  <c r="G23" i="1"/>
  <c r="H23" i="1" s="1"/>
  <c r="G16" i="1"/>
  <c r="G20" i="1"/>
  <c r="J14" i="3"/>
  <c r="G9" i="1"/>
  <c r="K6" i="2"/>
  <c r="I30" i="2"/>
  <c r="J30" i="2" s="1"/>
  <c r="K6" i="3"/>
  <c r="H11" i="3"/>
  <c r="H12" i="3"/>
  <c r="H13" i="3"/>
  <c r="H14" i="3"/>
  <c r="I11" i="2"/>
  <c r="K15" i="2"/>
  <c r="I21" i="2"/>
  <c r="I11" i="3"/>
  <c r="J11" i="3" s="1"/>
  <c r="I12" i="3"/>
  <c r="I13" i="3"/>
  <c r="J13" i="3" s="1"/>
  <c r="I10" i="2"/>
  <c r="I20" i="2"/>
  <c r="K24" i="2"/>
  <c r="G40" i="2"/>
  <c r="I9" i="3"/>
  <c r="I10" i="3"/>
  <c r="I17" i="3"/>
  <c r="K11" i="3"/>
  <c r="K12" i="3"/>
  <c r="K13" i="3"/>
  <c r="K14" i="3"/>
  <c r="H27" i="2"/>
  <c r="I28" i="2"/>
  <c r="J28" i="2" s="1"/>
  <c r="I32" i="2"/>
  <c r="J32" i="2" s="1"/>
  <c r="H25" i="3"/>
  <c r="H21" i="3" s="1"/>
  <c r="I26" i="3"/>
  <c r="J26" i="3" s="1"/>
  <c r="I31" i="3"/>
  <c r="J31" i="3" s="1"/>
  <c r="K15" i="3"/>
  <c r="I22" i="3"/>
  <c r="I23" i="3"/>
  <c r="I25" i="3"/>
  <c r="H25" i="2"/>
  <c r="G41" i="3"/>
  <c r="K24" i="3"/>
  <c r="D36" i="2"/>
  <c r="D35" i="2"/>
  <c r="G35" i="2" l="1"/>
  <c r="G36" i="2"/>
  <c r="K36" i="2"/>
  <c r="H23" i="2"/>
  <c r="J23" i="2" s="1"/>
  <c r="J26" i="2"/>
  <c r="H22" i="2"/>
  <c r="J22" i="2" s="1"/>
  <c r="J25" i="2"/>
  <c r="Z36" i="3"/>
  <c r="Z35" i="3"/>
  <c r="Z34" i="3"/>
  <c r="K35" i="2"/>
  <c r="H14" i="1"/>
  <c r="F13" i="1"/>
  <c r="F12" i="1" s="1"/>
  <c r="F11" i="1" s="1"/>
  <c r="H23" i="3"/>
  <c r="J23" i="3" s="1"/>
  <c r="H21" i="2"/>
  <c r="J21" i="2" s="1"/>
  <c r="J22" i="3"/>
  <c r="H21" i="1"/>
  <c r="J27" i="2"/>
  <c r="H20" i="2"/>
  <c r="J20" i="2" s="1"/>
  <c r="H12" i="1"/>
  <c r="J20" i="3"/>
  <c r="H13" i="1"/>
  <c r="J12" i="3"/>
  <c r="J25" i="3"/>
  <c r="H22" i="3"/>
  <c r="H19" i="3" s="1"/>
  <c r="J19" i="3" s="1"/>
  <c r="H20" i="1"/>
  <c r="H22" i="1"/>
  <c r="H16" i="2" l="1"/>
  <c r="H18" i="2"/>
  <c r="J18" i="2" s="1"/>
  <c r="H19" i="2"/>
  <c r="J19" i="2" s="1"/>
  <c r="H17" i="2"/>
  <c r="J17" i="2" s="1"/>
  <c r="H11" i="1"/>
  <c r="F19" i="1"/>
  <c r="H18" i="3"/>
  <c r="J18" i="3" s="1"/>
  <c r="H16" i="3"/>
  <c r="H17" i="3"/>
  <c r="J17" i="3" s="1"/>
  <c r="F18" i="1" l="1"/>
  <c r="H19" i="1"/>
  <c r="H13" i="2"/>
  <c r="J13" i="2" s="1"/>
  <c r="H14" i="2"/>
  <c r="J14" i="2" s="1"/>
  <c r="H11" i="2"/>
  <c r="J16" i="2"/>
  <c r="H12" i="2"/>
  <c r="J12" i="2" s="1"/>
  <c r="J16" i="3"/>
  <c r="H7" i="3"/>
  <c r="J7" i="3" s="1"/>
  <c r="H10" i="3"/>
  <c r="J10" i="3" s="1"/>
  <c r="H8" i="3"/>
  <c r="J8" i="3" s="1"/>
  <c r="D8" i="3" s="1"/>
  <c r="H9" i="3"/>
  <c r="J9" i="3" s="1"/>
  <c r="D9" i="3" s="1"/>
  <c r="V8" i="3" l="1"/>
  <c r="K8" i="3"/>
  <c r="G8" i="3"/>
  <c r="H10" i="2"/>
  <c r="J10" i="2" s="1"/>
  <c r="H9" i="2"/>
  <c r="J9" i="2" s="1"/>
  <c r="H8" i="2"/>
  <c r="J8" i="2" s="1"/>
  <c r="H7" i="2"/>
  <c r="J7" i="2" s="1"/>
  <c r="J11" i="2"/>
  <c r="D11" i="2" s="1"/>
  <c r="V9" i="3"/>
  <c r="K9" i="3"/>
  <c r="G9" i="3"/>
  <c r="D10" i="3"/>
  <c r="D7" i="3"/>
  <c r="D32" i="3"/>
  <c r="D29" i="3"/>
  <c r="D30" i="3"/>
  <c r="D26" i="3"/>
  <c r="D28" i="3"/>
  <c r="D31" i="3"/>
  <c r="D27" i="3"/>
  <c r="D21" i="3"/>
  <c r="D19" i="3"/>
  <c r="D22" i="3"/>
  <c r="D25" i="3"/>
  <c r="D20" i="3"/>
  <c r="D23" i="3"/>
  <c r="D16" i="3"/>
  <c r="H18" i="1"/>
  <c r="F17" i="1"/>
  <c r="D18" i="3"/>
  <c r="D17" i="3"/>
  <c r="D28" i="2" l="1"/>
  <c r="G28" i="2" s="1"/>
  <c r="D31" i="2"/>
  <c r="D30" i="2"/>
  <c r="D29" i="2"/>
  <c r="D32" i="2"/>
  <c r="K28" i="2"/>
  <c r="D27" i="2"/>
  <c r="D25" i="2"/>
  <c r="G25" i="2" s="1"/>
  <c r="D26" i="2"/>
  <c r="D16" i="2"/>
  <c r="G16" i="2" s="1"/>
  <c r="F16" i="1"/>
  <c r="H17" i="1"/>
  <c r="G11" i="2"/>
  <c r="K11" i="2"/>
  <c r="G21" i="3"/>
  <c r="V21" i="3"/>
  <c r="K21" i="3"/>
  <c r="G7" i="3"/>
  <c r="V7" i="3"/>
  <c r="K7" i="3"/>
  <c r="D7" i="2"/>
  <c r="D23" i="2"/>
  <c r="D22" i="2"/>
  <c r="D21" i="2"/>
  <c r="D20" i="2"/>
  <c r="D17" i="2"/>
  <c r="D19" i="2"/>
  <c r="D18" i="2"/>
  <c r="D13" i="2"/>
  <c r="V27" i="3"/>
  <c r="K27" i="3"/>
  <c r="G27" i="3"/>
  <c r="V10" i="3"/>
  <c r="K10" i="3"/>
  <c r="G10" i="3"/>
  <c r="D8" i="2"/>
  <c r="V32" i="3"/>
  <c r="K32" i="3"/>
  <c r="G32" i="3"/>
  <c r="V31" i="3"/>
  <c r="G31" i="3"/>
  <c r="K31" i="3"/>
  <c r="G23" i="3"/>
  <c r="V23" i="3"/>
  <c r="K23" i="3"/>
  <c r="D10" i="2"/>
  <c r="G18" i="3"/>
  <c r="V18" i="3"/>
  <c r="K18" i="3"/>
  <c r="G20" i="3"/>
  <c r="V20" i="3"/>
  <c r="K20" i="3"/>
  <c r="V26" i="3"/>
  <c r="G26" i="3"/>
  <c r="K26" i="3"/>
  <c r="G19" i="3"/>
  <c r="V19" i="3"/>
  <c r="K19" i="3"/>
  <c r="V16" i="3"/>
  <c r="K16" i="3"/>
  <c r="G16" i="3"/>
  <c r="D9" i="2"/>
  <c r="V17" i="3"/>
  <c r="K17" i="3"/>
  <c r="G17" i="3"/>
  <c r="V28" i="3"/>
  <c r="K28" i="3"/>
  <c r="G28" i="3"/>
  <c r="D14" i="2"/>
  <c r="G25" i="3"/>
  <c r="V25" i="3"/>
  <c r="K25" i="3"/>
  <c r="G30" i="3"/>
  <c r="V30" i="3"/>
  <c r="K30" i="3"/>
  <c r="X9" i="3"/>
  <c r="Y9" i="3" s="1"/>
  <c r="AD9" i="3"/>
  <c r="AF9" i="3" s="1"/>
  <c r="D12" i="2"/>
  <c r="G22" i="3"/>
  <c r="V22" i="3"/>
  <c r="K22" i="3"/>
  <c r="V29" i="3"/>
  <c r="K29" i="3"/>
  <c r="G29" i="3"/>
  <c r="X8" i="3"/>
  <c r="Y8" i="3" s="1"/>
  <c r="AD8" i="3"/>
  <c r="AF8" i="3" s="1"/>
  <c r="K30" i="2" l="1"/>
  <c r="G30" i="2"/>
  <c r="G32" i="2"/>
  <c r="K32" i="2"/>
  <c r="G31" i="2"/>
  <c r="K31" i="2"/>
  <c r="G29" i="2"/>
  <c r="K29" i="2"/>
  <c r="K25" i="2"/>
  <c r="G27" i="2"/>
  <c r="K27" i="2"/>
  <c r="G26" i="2"/>
  <c r="K26" i="2"/>
  <c r="K16" i="2"/>
  <c r="AB8" i="3"/>
  <c r="Z8" i="3"/>
  <c r="AB9" i="3"/>
  <c r="Z9" i="3"/>
  <c r="AD23" i="3"/>
  <c r="AF23" i="3" s="1"/>
  <c r="Y23" i="3"/>
  <c r="G22" i="2"/>
  <c r="K22" i="2"/>
  <c r="K9" i="2"/>
  <c r="G9" i="2"/>
  <c r="AD27" i="3"/>
  <c r="AF27" i="3" s="1"/>
  <c r="X27" i="3"/>
  <c r="Y27" i="3" s="1"/>
  <c r="G23" i="2"/>
  <c r="K23" i="2"/>
  <c r="K8" i="2"/>
  <c r="G8" i="2"/>
  <c r="K18" i="2"/>
  <c r="G18" i="2"/>
  <c r="Y29" i="3"/>
  <c r="AD29" i="3"/>
  <c r="AF29" i="3" s="1"/>
  <c r="G12" i="2"/>
  <c r="K12" i="2"/>
  <c r="AD25" i="3"/>
  <c r="AF25" i="3" s="1"/>
  <c r="X25" i="3"/>
  <c r="Y25" i="3" s="1"/>
  <c r="X17" i="3"/>
  <c r="Y17" i="3" s="1"/>
  <c r="AD17" i="3"/>
  <c r="AF17" i="3" s="1"/>
  <c r="G10" i="2"/>
  <c r="K10" i="2"/>
  <c r="G14" i="2"/>
  <c r="K14" i="2"/>
  <c r="AD26" i="3"/>
  <c r="AF26" i="3" s="1"/>
  <c r="X26" i="3"/>
  <c r="Y26" i="3" s="1"/>
  <c r="Y32" i="3"/>
  <c r="AD32" i="3"/>
  <c r="AF32" i="3" s="1"/>
  <c r="G13" i="2"/>
  <c r="K13" i="2"/>
  <c r="G7" i="2"/>
  <c r="K7" i="2"/>
  <c r="G17" i="2"/>
  <c r="K17" i="2"/>
  <c r="Y10" i="3"/>
  <c r="X10" i="3"/>
  <c r="AD10" i="3"/>
  <c r="AF10" i="3" s="1"/>
  <c r="G20" i="2"/>
  <c r="K20" i="2"/>
  <c r="X16" i="3"/>
  <c r="AD16" i="3"/>
  <c r="AF16" i="3" s="1"/>
  <c r="Y16" i="3"/>
  <c r="AD20" i="3"/>
  <c r="AF20" i="3" s="1"/>
  <c r="Y20" i="3"/>
  <c r="K19" i="2"/>
  <c r="G19" i="2"/>
  <c r="AD7" i="3"/>
  <c r="AF7" i="3" s="1"/>
  <c r="X7" i="3"/>
  <c r="Y7" i="3" s="1"/>
  <c r="AD30" i="3"/>
  <c r="AF30" i="3" s="1"/>
  <c r="Y30" i="3"/>
  <c r="X28" i="3"/>
  <c r="Y28" i="3" s="1"/>
  <c r="AD28" i="3"/>
  <c r="AF28" i="3" s="1"/>
  <c r="H16" i="1"/>
  <c r="F10" i="1"/>
  <c r="AD22" i="3"/>
  <c r="AF22" i="3" s="1"/>
  <c r="Y22" i="3"/>
  <c r="X19" i="3"/>
  <c r="Y19" i="3" s="1"/>
  <c r="AD19" i="3"/>
  <c r="AF19" i="3" s="1"/>
  <c r="X18" i="3"/>
  <c r="Y18" i="3" s="1"/>
  <c r="AD18" i="3"/>
  <c r="AF18" i="3" s="1"/>
  <c r="AD31" i="3"/>
  <c r="AF31" i="3" s="1"/>
  <c r="Y31" i="3"/>
  <c r="G21" i="2"/>
  <c r="K21" i="2"/>
  <c r="AD21" i="3"/>
  <c r="AF21" i="3" s="1"/>
  <c r="Y21" i="3"/>
  <c r="AB26" i="3" l="1"/>
  <c r="Z26" i="3"/>
  <c r="Z19" i="3"/>
  <c r="AB19" i="3"/>
  <c r="AB27" i="3"/>
  <c r="Z27" i="3"/>
  <c r="AB25" i="3"/>
  <c r="Z25" i="3"/>
  <c r="AB7" i="3"/>
  <c r="Z7" i="3"/>
  <c r="AB18" i="3"/>
  <c r="Z18" i="3"/>
  <c r="AB28" i="3"/>
  <c r="Z28" i="3"/>
  <c r="AB17" i="3"/>
  <c r="Z17" i="3"/>
  <c r="AB30" i="3"/>
  <c r="Z30" i="3"/>
  <c r="AB20" i="3"/>
  <c r="Z20" i="3"/>
  <c r="AB23" i="3"/>
  <c r="Z23" i="3"/>
  <c r="AB31" i="3"/>
  <c r="Z31" i="3"/>
  <c r="AB22" i="3"/>
  <c r="Z22" i="3"/>
  <c r="AB10" i="3"/>
  <c r="Z10" i="3"/>
  <c r="Z32" i="3"/>
  <c r="AB32" i="3"/>
  <c r="AB16" i="3"/>
  <c r="Z16" i="3"/>
  <c r="Z29" i="3"/>
  <c r="AB29" i="3"/>
  <c r="F9" i="1"/>
  <c r="H10" i="1"/>
  <c r="AB21" i="3"/>
  <c r="Z21" i="3"/>
  <c r="F8" i="1" l="1"/>
  <c r="H9" i="1"/>
  <c r="F7" i="1" l="1"/>
  <c r="H7" i="1" s="1"/>
  <c r="H8" i="1"/>
  <c r="D8" i="1" s="1"/>
  <c r="I8" i="1" s="1"/>
  <c r="D7" i="1" l="1"/>
  <c r="I7" i="1" s="1"/>
  <c r="D23" i="1"/>
  <c r="I23" i="1" s="1"/>
  <c r="D12" i="1"/>
  <c r="I12" i="1" s="1"/>
  <c r="D14" i="1"/>
  <c r="I14" i="1" s="1"/>
  <c r="D21" i="1"/>
  <c r="I21" i="1" s="1"/>
  <c r="D20" i="1"/>
  <c r="D13" i="1"/>
  <c r="I13" i="1" s="1"/>
  <c r="D22" i="1"/>
  <c r="I22" i="1" s="1"/>
  <c r="D11" i="1"/>
  <c r="D19" i="1"/>
  <c r="I19" i="1" s="1"/>
  <c r="D18" i="1"/>
  <c r="I18" i="1" s="1"/>
  <c r="D17" i="1"/>
  <c r="I17" i="1" s="1"/>
  <c r="D16" i="1"/>
  <c r="I16" i="1" s="1"/>
  <c r="D10" i="1"/>
  <c r="I10" i="1" s="1"/>
  <c r="D9" i="1"/>
  <c r="I9" i="1" s="1"/>
  <c r="D29" i="1" l="1"/>
  <c r="I29" i="1" s="1"/>
  <c r="D28" i="1"/>
  <c r="I28" i="1" s="1"/>
  <c r="D26" i="1"/>
  <c r="I26" i="1" s="1"/>
  <c r="I20" i="1"/>
  <c r="D25" i="1"/>
  <c r="I25" i="1" s="1"/>
  <c r="I11" i="1"/>
</calcChain>
</file>

<file path=xl/sharedStrings.xml><?xml version="1.0" encoding="utf-8"?>
<sst xmlns="http://schemas.openxmlformats.org/spreadsheetml/2006/main" count="337" uniqueCount="113">
  <si>
    <t>Leadership</t>
  </si>
  <si>
    <t>Lv.</t>
  </si>
  <si>
    <t>Health</t>
  </si>
  <si>
    <t>X</t>
  </si>
  <si>
    <t>Mel</t>
  </si>
  <si>
    <t>Rng</t>
  </si>
  <si>
    <t>Mnt</t>
  </si>
  <si>
    <t>Fly</t>
  </si>
  <si>
    <t>Drag</t>
  </si>
  <si>
    <t>Elem</t>
  </si>
  <si>
    <t>Giant</t>
  </si>
  <si>
    <t>Beast</t>
  </si>
  <si>
    <t>Avg</t>
  </si>
  <si>
    <t>Guardsman Lv</t>
  </si>
  <si>
    <t>--</t>
  </si>
  <si>
    <t>Specialist Lv</t>
  </si>
  <si>
    <t>VP STACKS - AGAINST EPIC MONSTERS
** PASTABLE IN GAME **</t>
  </si>
  <si>
    <t>** Introduction**</t>
  </si>
  <si>
    <t>Monster Lv</t>
  </si>
  <si>
    <t>This sheet can be used to stack for seasonal</t>
  </si>
  <si>
    <t>Auto</t>
  </si>
  <si>
    <t>Add</t>
  </si>
  <si>
    <t>Unit</t>
  </si>
  <si>
    <t>Amount</t>
  </si>
  <si>
    <t>Lead</t>
  </si>
  <si>
    <t>Fact</t>
  </si>
  <si>
    <t>Weigh</t>
  </si>
  <si>
    <t>Adj W</t>
  </si>
  <si>
    <t>It supports lv.3 and higher guards, specialists &amp; Monsters</t>
  </si>
  <si>
    <t>Please do not share without the express permission of Chubby Cannibal K166</t>
  </si>
  <si>
    <t>x</t>
  </si>
  <si>
    <t>Spec - Melee</t>
  </si>
  <si>
    <t>Spec - Ranged</t>
  </si>
  <si>
    <t>** Instructions **</t>
  </si>
  <si>
    <t>Spec - Mounted</t>
  </si>
  <si>
    <t>1- Don't change anything except the blue squares</t>
  </si>
  <si>
    <t>Spec - Flying</t>
  </si>
  <si>
    <t>2- Inscribe your leadership with the captain or hero you want to fight epics with</t>
  </si>
  <si>
    <t>Guard - Melee</t>
  </si>
  <si>
    <t>3- Inscribe your guard, specialist and monster levels. Use a number from 3 to 9</t>
  </si>
  <si>
    <t>Guard - Ranged</t>
  </si>
  <si>
    <t>4- The sheet selects the best units to send. For more (ex: partial unlocks), inscribe a "x" in the B column</t>
  </si>
  <si>
    <t>Guard - Mounted</t>
  </si>
  <si>
    <t>5a- The eternal debate... include Specialists or not? The sheet includes them only for the highest guard level</t>
  </si>
  <si>
    <t>Guard - Flying</t>
  </si>
  <si>
    <t>5b- If you want to add more, include them manually</t>
  </si>
  <si>
    <t>6- The column I is formatted to be pastable in-game if you select all the grey block</t>
  </si>
  <si>
    <t>** Author **</t>
  </si>
  <si>
    <t>Chubby Cannibal K166</t>
  </si>
  <si>
    <t>Monsters</t>
  </si>
  <si>
    <t>Mercenaries</t>
  </si>
  <si>
    <t>Arach/Guard/Spec</t>
  </si>
  <si>
    <t>Monster Hunter</t>
  </si>
  <si>
    <t>Max Leadership</t>
  </si>
  <si>
    <t>SOLO CP RUNS
** PASTABLE IN GAME **</t>
  </si>
  <si>
    <t>This sheet can be used to create a personal solo CP table for clan SFC</t>
  </si>
  <si>
    <t>It supports lv.7 and higher guards, specialists &amp; Monsters</t>
  </si>
  <si>
    <t>HP</t>
  </si>
  <si>
    <t>Total Health</t>
  </si>
  <si>
    <t>LV.9</t>
  </si>
  <si>
    <t>Punisher II</t>
  </si>
  <si>
    <t>Purifyer II</t>
  </si>
  <si>
    <t>Smiter II</t>
  </si>
  <si>
    <t>2- Inscribe your leadership with everything selected: Hero + Captains + Dragon + Equipment</t>
  </si>
  <si>
    <t>Corax II</t>
  </si>
  <si>
    <t>3- Inscribe your guard, specialist and monster levels. Use a number from 7 to 9</t>
  </si>
  <si>
    <t>Duelist II</t>
  </si>
  <si>
    <t>4- The sheet automatically selects the best units to send. If you want to add more (for example you unlocked a single s9), inscribe a "x" in the B column</t>
  </si>
  <si>
    <t>Legitimist II</t>
  </si>
  <si>
    <t>5- The column K gives you what to send. It is formatted to be pastable in-game if you select all the grey block</t>
  </si>
  <si>
    <t>Whitemane II</t>
  </si>
  <si>
    <t>Royal Lion II</t>
  </si>
  <si>
    <t>LV.8</t>
  </si>
  <si>
    <t>Punisher I</t>
  </si>
  <si>
    <t>Purifyer I</t>
  </si>
  <si>
    <t>Smiter I</t>
  </si>
  <si>
    <t>Corax I</t>
  </si>
  <si>
    <t>Duelist I</t>
  </si>
  <si>
    <t>Legitimist I</t>
  </si>
  <si>
    <t>Whitemane I</t>
  </si>
  <si>
    <t>Royal Lion I</t>
  </si>
  <si>
    <t>LV.7</t>
  </si>
  <si>
    <t>Halberdier VII</t>
  </si>
  <si>
    <t>Arbalester VII</t>
  </si>
  <si>
    <t>Knight VII</t>
  </si>
  <si>
    <t>Griffin VII</t>
  </si>
  <si>
    <t>Heavy Knight VII</t>
  </si>
  <si>
    <t>Deadshot VII</t>
  </si>
  <si>
    <t>Lion Rider VII</t>
  </si>
  <si>
    <t>Vulture VII</t>
  </si>
  <si>
    <t>--- Monsters (MAX) ----</t>
  </si>
  <si>
    <t>Monsters II</t>
  </si>
  <si>
    <t>Monsters I</t>
  </si>
  <si>
    <t>Monsters VII</t>
  </si>
  <si>
    <t>--- Mercs (MAX) ----</t>
  </si>
  <si>
    <t>Wyverns</t>
  </si>
  <si>
    <t>Monstruous</t>
  </si>
  <si>
    <t>Heroi, Cleopatra, Dustan, Aydae</t>
  </si>
  <si>
    <t>WHAT TO SEND
** PASTABLE IN GAME **</t>
  </si>
  <si>
    <t>Perdas</t>
  </si>
  <si>
    <t>Ataques</t>
  </si>
  <si>
    <t>Sel</t>
  </si>
  <si>
    <t>Please do not share without the express permission of Chubby Cannibal K116</t>
  </si>
  <si>
    <t>Qt por treino</t>
  </si>
  <si>
    <t>Existem</t>
  </si>
  <si>
    <t>Faltam</t>
  </si>
  <si>
    <t>Chubby Cannibal K116</t>
  </si>
  <si>
    <t>Alrick</t>
  </si>
  <si>
    <t>Aydae</t>
  </si>
  <si>
    <t>Dustan</t>
  </si>
  <si>
    <t>Cleopatra</t>
  </si>
  <si>
    <t>Liderança</t>
  </si>
  <si>
    <t>Bónus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</si>
</sst>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sz val="6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E7FD"/>
        <bgColor rgb="FFD9E7FD"/>
      </patternFill>
    </fill>
    <fill>
      <patternFill patternType="solid">
        <fgColor rgb="FF0000FF"/>
        <bgColor rgb="FF0000FF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CC0000"/>
        <bgColor rgb="FFCC0000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6" fillId="0" borderId="0" xfId="0" applyFont="1"/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left"/>
    </xf>
    <xf numFmtId="0" fontId="7" fillId="5" borderId="7" xfId="0" applyFont="1" applyFill="1" applyBorder="1"/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5" borderId="7" xfId="0" applyFont="1" applyFill="1" applyBorder="1"/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164" fontId="1" fillId="5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9" fontId="1" fillId="7" borderId="7" xfId="0" applyNumberFormat="1" applyFont="1" applyFill="1" applyBorder="1" applyAlignment="1">
      <alignment horizontal="left"/>
    </xf>
    <xf numFmtId="0" fontId="1" fillId="0" borderId="1" xfId="0" applyFont="1" applyBorder="1"/>
    <xf numFmtId="0" fontId="10" fillId="2" borderId="1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3" fontId="1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9" fontId="6" fillId="0" borderId="0" xfId="0" applyNumberFormat="1" applyFont="1"/>
    <xf numFmtId="164" fontId="6" fillId="0" borderId="0" xfId="0" applyNumberFormat="1" applyFont="1"/>
    <xf numFmtId="164" fontId="1" fillId="9" borderId="1" xfId="0" applyNumberFormat="1" applyFont="1" applyFill="1" applyBorder="1" applyAlignment="1">
      <alignment horizontal="center"/>
    </xf>
    <xf numFmtId="164" fontId="6" fillId="9" borderId="0" xfId="0" applyNumberFormat="1" applyFont="1" applyFill="1"/>
    <xf numFmtId="0" fontId="6" fillId="9" borderId="0" xfId="0" applyFont="1" applyFill="1"/>
    <xf numFmtId="10" fontId="6" fillId="0" borderId="0" xfId="0" applyNumberFormat="1" applyFont="1"/>
    <xf numFmtId="0" fontId="5" fillId="3" borderId="0" xfId="0" applyFont="1" applyFill="1" applyAlignment="1">
      <alignment horizontal="center" vertical="center"/>
    </xf>
    <xf numFmtId="0" fontId="0" fillId="0" borderId="0" xfId="0"/>
    <xf numFmtId="0" fontId="5" fillId="6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AB29"/>
  <sheetViews>
    <sheetView workbookViewId="0">
      <selection activeCell="D5" sqref="D5"/>
    </sheetView>
  </sheetViews>
  <sheetFormatPr defaultColWidth="12.7109375" defaultRowHeight="15.75" customHeight="1" x14ac:dyDescent="0.2"/>
  <cols>
    <col min="1" max="2" width="5" customWidth="1"/>
    <col min="3" max="3" width="15.7109375" customWidth="1"/>
    <col min="4" max="4" width="8.85546875" customWidth="1"/>
    <col min="5" max="8" width="5.140625" hidden="1" customWidth="1"/>
    <col min="9" max="9" width="42.28515625" customWidth="1"/>
    <col min="11" max="11" width="21.7109375" customWidth="1"/>
    <col min="12" max="12" width="5" customWidth="1"/>
    <col min="13" max="13" width="5.85546875" hidden="1" customWidth="1"/>
    <col min="14" max="28" width="5" hidden="1" customWidth="1"/>
    <col min="29" max="29" width="58.85546875" customWidth="1"/>
  </cols>
  <sheetData>
    <row r="1" spans="1:28" ht="15.75" customHeight="1" x14ac:dyDescent="0.2">
      <c r="A1" s="1"/>
      <c r="B1" s="1"/>
      <c r="C1" s="2" t="s">
        <v>0</v>
      </c>
      <c r="D1" s="3">
        <v>691510</v>
      </c>
      <c r="M1" s="4" t="s">
        <v>1</v>
      </c>
      <c r="N1" s="4" t="s">
        <v>2</v>
      </c>
      <c r="O1" s="4" t="s">
        <v>3</v>
      </c>
      <c r="P1" s="4" t="s">
        <v>4</v>
      </c>
      <c r="Q1" s="4" t="s">
        <v>5</v>
      </c>
      <c r="R1" s="4" t="s">
        <v>6</v>
      </c>
      <c r="S1" s="4" t="s">
        <v>7</v>
      </c>
      <c r="T1" s="4" t="s">
        <v>4</v>
      </c>
      <c r="U1" s="4" t="s">
        <v>5</v>
      </c>
      <c r="V1" s="4" t="s">
        <v>6</v>
      </c>
      <c r="W1" s="4" t="s">
        <v>7</v>
      </c>
      <c r="X1" s="4" t="s">
        <v>8</v>
      </c>
      <c r="Y1" s="4" t="s">
        <v>9</v>
      </c>
      <c r="Z1" s="4" t="s">
        <v>10</v>
      </c>
      <c r="AA1" s="4" t="s">
        <v>11</v>
      </c>
      <c r="AB1" s="4" t="s">
        <v>12</v>
      </c>
    </row>
    <row r="2" spans="1:28" ht="15.75" customHeight="1" x14ac:dyDescent="0.2">
      <c r="A2" s="1"/>
      <c r="B2" s="1"/>
      <c r="C2" s="2" t="s">
        <v>13</v>
      </c>
      <c r="D2" s="5">
        <v>9</v>
      </c>
      <c r="M2" s="6">
        <v>1</v>
      </c>
      <c r="N2" s="6">
        <v>150</v>
      </c>
      <c r="O2" s="6">
        <v>0.1</v>
      </c>
      <c r="P2" s="6">
        <v>1</v>
      </c>
      <c r="Q2" s="6">
        <v>1</v>
      </c>
      <c r="R2" s="6">
        <v>2</v>
      </c>
      <c r="S2" s="6" t="s">
        <v>14</v>
      </c>
      <c r="T2" s="6">
        <v>1</v>
      </c>
      <c r="U2" s="6" t="s">
        <v>14</v>
      </c>
      <c r="V2" s="6" t="s">
        <v>14</v>
      </c>
      <c r="W2" s="6" t="s">
        <v>14</v>
      </c>
      <c r="X2" s="6" t="s">
        <v>14</v>
      </c>
      <c r="Y2" s="6" t="s">
        <v>14</v>
      </c>
      <c r="Z2" s="6" t="s">
        <v>14</v>
      </c>
      <c r="AA2" s="6" t="s">
        <v>14</v>
      </c>
      <c r="AB2" s="6" t="s">
        <v>14</v>
      </c>
    </row>
    <row r="3" spans="1:28" ht="15.75" customHeight="1" x14ac:dyDescent="0.2">
      <c r="A3" s="1"/>
      <c r="B3" s="1"/>
      <c r="C3" s="2" t="s">
        <v>15</v>
      </c>
      <c r="D3" s="5">
        <v>8</v>
      </c>
      <c r="I3" s="50" t="s">
        <v>16</v>
      </c>
      <c r="K3" s="2" t="s">
        <v>17</v>
      </c>
      <c r="M3" s="6">
        <v>2</v>
      </c>
      <c r="N3" s="6">
        <v>270</v>
      </c>
      <c r="O3" s="6">
        <v>0.17</v>
      </c>
      <c r="P3" s="6">
        <v>1</v>
      </c>
      <c r="Q3" s="6">
        <v>1</v>
      </c>
      <c r="R3" s="6">
        <v>2</v>
      </c>
      <c r="S3" s="6" t="s">
        <v>14</v>
      </c>
      <c r="T3" s="6">
        <v>1</v>
      </c>
      <c r="U3" s="6" t="s">
        <v>14</v>
      </c>
      <c r="V3" s="6" t="s">
        <v>14</v>
      </c>
      <c r="W3" s="6" t="s">
        <v>14</v>
      </c>
      <c r="X3" s="6" t="s">
        <v>14</v>
      </c>
      <c r="Y3" s="6" t="s">
        <v>14</v>
      </c>
      <c r="Z3" s="6" t="s">
        <v>14</v>
      </c>
      <c r="AA3" s="6" t="s">
        <v>14</v>
      </c>
      <c r="AB3" s="6" t="s">
        <v>14</v>
      </c>
    </row>
    <row r="4" spans="1:28" ht="15.75" customHeight="1" x14ac:dyDescent="0.2">
      <c r="C4" s="2" t="s">
        <v>18</v>
      </c>
      <c r="D4" s="5">
        <v>9</v>
      </c>
      <c r="I4" s="51"/>
      <c r="K4" s="1" t="s">
        <v>19</v>
      </c>
      <c r="M4" s="6">
        <v>3</v>
      </c>
      <c r="N4" s="6">
        <v>480</v>
      </c>
      <c r="O4" s="6">
        <v>0.31</v>
      </c>
      <c r="P4" s="6">
        <v>1</v>
      </c>
      <c r="Q4" s="6">
        <v>1</v>
      </c>
      <c r="R4" s="6">
        <v>2</v>
      </c>
      <c r="S4" s="6" t="s">
        <v>14</v>
      </c>
      <c r="T4" s="6">
        <v>1</v>
      </c>
      <c r="U4" s="6" t="s">
        <v>14</v>
      </c>
      <c r="V4" s="6" t="s">
        <v>14</v>
      </c>
      <c r="W4" s="6" t="s">
        <v>14</v>
      </c>
      <c r="X4" s="6">
        <v>7</v>
      </c>
      <c r="Y4" s="6">
        <v>3</v>
      </c>
      <c r="Z4" s="6">
        <v>8</v>
      </c>
      <c r="AA4" s="6">
        <v>6</v>
      </c>
      <c r="AB4" s="6">
        <v>6</v>
      </c>
    </row>
    <row r="5" spans="1:28" ht="15.75" customHeight="1" x14ac:dyDescent="0.2">
      <c r="A5" s="7" t="s">
        <v>20</v>
      </c>
      <c r="B5" s="8" t="s">
        <v>21</v>
      </c>
      <c r="C5" s="9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10" t="str">
        <f>"Epic Stacking - "&amp;"g"&amp;VP_GUARD_LV&amp;"-s"&amp;VP_SPEC_LV&amp;"-m"&amp;VP_MONST_LV&amp;" - "&amp;TEXT(ROUND(D1/1000,0)&amp;"k","# ###")&amp;" leadership"</f>
        <v>Epic Stacking - g9-s8-m9 - 692k leadership</v>
      </c>
      <c r="K5" s="11" t="s">
        <v>28</v>
      </c>
      <c r="M5" s="6">
        <v>4</v>
      </c>
      <c r="N5" s="6">
        <v>870</v>
      </c>
      <c r="O5" s="6">
        <v>0.56000000000000005</v>
      </c>
      <c r="P5" s="6">
        <v>1</v>
      </c>
      <c r="Q5" s="6">
        <v>1</v>
      </c>
      <c r="R5" s="6">
        <v>2</v>
      </c>
      <c r="S5" s="6" t="s">
        <v>14</v>
      </c>
      <c r="T5" s="6">
        <v>1</v>
      </c>
      <c r="U5" s="6" t="s">
        <v>14</v>
      </c>
      <c r="V5" s="6" t="s">
        <v>14</v>
      </c>
      <c r="W5" s="6" t="s">
        <v>14</v>
      </c>
      <c r="X5" s="6">
        <v>13</v>
      </c>
      <c r="Y5" s="6">
        <v>15</v>
      </c>
      <c r="Z5" s="6">
        <v>11</v>
      </c>
      <c r="AA5" s="6">
        <v>10</v>
      </c>
      <c r="AB5" s="6">
        <v>12</v>
      </c>
    </row>
    <row r="6" spans="1:28" ht="15.75" customHeight="1" x14ac:dyDescent="0.2">
      <c r="A6" s="12"/>
      <c r="B6" s="13"/>
      <c r="C6" s="14" t="str">
        <f>"LV."&amp;VP_GUARD_LV-1</f>
        <v>LV.8</v>
      </c>
      <c r="D6" s="13"/>
      <c r="E6" s="13"/>
      <c r="F6" s="13"/>
      <c r="G6" s="13"/>
      <c r="H6" s="13"/>
      <c r="I6" s="15" t="str">
        <f>"--- "&amp;C6&amp;" ---"</f>
        <v>--- LV.8 ---</v>
      </c>
      <c r="K6" s="1" t="s">
        <v>29</v>
      </c>
      <c r="M6" s="6">
        <v>5</v>
      </c>
      <c r="N6" s="6">
        <v>1560</v>
      </c>
      <c r="O6" s="6">
        <v>1</v>
      </c>
      <c r="P6" s="6">
        <v>1</v>
      </c>
      <c r="Q6" s="6">
        <v>1</v>
      </c>
      <c r="R6" s="6">
        <v>2</v>
      </c>
      <c r="S6" s="6">
        <v>20</v>
      </c>
      <c r="T6" s="6">
        <v>1</v>
      </c>
      <c r="U6" s="6">
        <v>1</v>
      </c>
      <c r="V6" s="6">
        <v>2</v>
      </c>
      <c r="W6" s="6">
        <v>1</v>
      </c>
      <c r="X6" s="6">
        <v>20</v>
      </c>
      <c r="Y6" s="6">
        <v>21</v>
      </c>
      <c r="Z6" s="6">
        <v>23</v>
      </c>
      <c r="AA6" s="6">
        <v>22</v>
      </c>
      <c r="AB6" s="6">
        <v>21</v>
      </c>
    </row>
    <row r="7" spans="1:28" ht="15.75" customHeight="1" x14ac:dyDescent="0.2">
      <c r="A7" s="16" t="str">
        <f t="shared" ref="A7:A10" si="0">IF(E7="--","--",IF(B7="x","x",""))</f>
        <v>x</v>
      </c>
      <c r="B7" s="17" t="s">
        <v>30</v>
      </c>
      <c r="C7" s="18" t="s">
        <v>31</v>
      </c>
      <c r="D7" s="19">
        <f t="shared" ref="D7:D14" si="1">IFERROR((ROUNDDOWN(H7/SUM($H$7:$H$23)*$D$1,-2))/E7,"--")</f>
        <v>69200</v>
      </c>
      <c r="E7" s="16">
        <f>IFERROR(VLOOKUP(VP_GUARD_LV-1,$M$2:$AB$10,8,FALSE),"--")</f>
        <v>1</v>
      </c>
      <c r="F7" s="16">
        <f t="shared" ref="F7:F9" si="2">IF(A7="x",MAX($F8:$F$10,$F$12:$F$24)+1,0)</f>
        <v>11</v>
      </c>
      <c r="G7" s="16">
        <f t="shared" ref="G7:G14" si="3">IF(A7="x",1.8,0)</f>
        <v>1.8</v>
      </c>
      <c r="H7" s="16">
        <f t="shared" ref="H7:H14" si="4">G7+F7/100</f>
        <v>1.9100000000000001</v>
      </c>
      <c r="I7" s="20" t="str">
        <f t="shared" ref="I7:I14" si="5">IF(A7="x","  "&amp;C7&amp;"  "&amp;REPT(".",26-LEN(C7))&amp;" "&amp;TEXT(ROUND(D7,0),"# ###"),"")</f>
        <v xml:space="preserve">  Spec - Melee  .............. 69 200</v>
      </c>
      <c r="M7" s="6">
        <v>6</v>
      </c>
      <c r="N7" s="6">
        <v>2820</v>
      </c>
      <c r="O7" s="6">
        <v>1.8</v>
      </c>
      <c r="P7" s="6">
        <v>1</v>
      </c>
      <c r="Q7" s="6">
        <v>1</v>
      </c>
      <c r="R7" s="6">
        <v>2</v>
      </c>
      <c r="S7" s="6">
        <v>20</v>
      </c>
      <c r="T7" s="6">
        <v>1</v>
      </c>
      <c r="U7" s="6">
        <v>1</v>
      </c>
      <c r="V7" s="6">
        <v>2</v>
      </c>
      <c r="W7" s="6">
        <v>1</v>
      </c>
      <c r="X7" s="6">
        <v>33</v>
      </c>
      <c r="Y7" s="6">
        <v>35</v>
      </c>
      <c r="Z7" s="6">
        <v>30</v>
      </c>
      <c r="AA7" s="6">
        <v>34</v>
      </c>
      <c r="AB7" s="6">
        <v>33</v>
      </c>
    </row>
    <row r="8" spans="1:28" ht="15.75" customHeight="1" x14ac:dyDescent="0.2">
      <c r="A8" s="16" t="str">
        <f t="shared" si="0"/>
        <v>x</v>
      </c>
      <c r="B8" s="17" t="s">
        <v>30</v>
      </c>
      <c r="C8" s="18" t="s">
        <v>32</v>
      </c>
      <c r="D8" s="19">
        <f t="shared" si="1"/>
        <v>68900</v>
      </c>
      <c r="E8" s="16">
        <f>IFERROR(VLOOKUP(VP_GUARD_LV-1,$M$2:$AB$10,9,FALSE),"--")</f>
        <v>1</v>
      </c>
      <c r="F8" s="16">
        <f t="shared" si="2"/>
        <v>10</v>
      </c>
      <c r="G8" s="16">
        <f t="shared" si="3"/>
        <v>1.8</v>
      </c>
      <c r="H8" s="16">
        <f t="shared" si="4"/>
        <v>1.9000000000000001</v>
      </c>
      <c r="I8" s="20" t="str">
        <f t="shared" si="5"/>
        <v xml:space="preserve">  Spec - Ranged  ............. 68 900</v>
      </c>
      <c r="K8" s="2" t="s">
        <v>33</v>
      </c>
      <c r="M8" s="6">
        <v>7</v>
      </c>
      <c r="N8" s="6">
        <v>5100</v>
      </c>
      <c r="O8" s="6">
        <v>3.24</v>
      </c>
      <c r="P8" s="6">
        <v>1</v>
      </c>
      <c r="Q8" s="6">
        <v>1</v>
      </c>
      <c r="R8" s="6">
        <v>2</v>
      </c>
      <c r="S8" s="6">
        <v>20</v>
      </c>
      <c r="T8" s="6">
        <v>1</v>
      </c>
      <c r="U8" s="6">
        <v>1</v>
      </c>
      <c r="V8" s="6">
        <v>2</v>
      </c>
      <c r="W8" s="6">
        <v>1</v>
      </c>
      <c r="X8" s="6">
        <v>44</v>
      </c>
      <c r="Y8" s="6">
        <v>45</v>
      </c>
      <c r="Z8" s="6">
        <v>43</v>
      </c>
      <c r="AA8" s="6">
        <v>41</v>
      </c>
      <c r="AB8" s="6">
        <v>43</v>
      </c>
    </row>
    <row r="9" spans="1:28" ht="15.75" customHeight="1" x14ac:dyDescent="0.2">
      <c r="A9" s="16" t="str">
        <f t="shared" si="0"/>
        <v>x</v>
      </c>
      <c r="B9" s="17" t="s">
        <v>30</v>
      </c>
      <c r="C9" s="18" t="s">
        <v>34</v>
      </c>
      <c r="D9" s="19">
        <f t="shared" si="1"/>
        <v>34250</v>
      </c>
      <c r="E9" s="16">
        <f>IFERROR(VLOOKUP(VP_GUARD_LV-1,$M$2:$AB$10,10,FALSE),"--")</f>
        <v>2</v>
      </c>
      <c r="F9" s="16">
        <f t="shared" si="2"/>
        <v>9</v>
      </c>
      <c r="G9" s="16">
        <f t="shared" si="3"/>
        <v>1.8</v>
      </c>
      <c r="H9" s="16">
        <f t="shared" si="4"/>
        <v>1.8900000000000001</v>
      </c>
      <c r="I9" s="20" t="str">
        <f t="shared" si="5"/>
        <v xml:space="preserve">  Spec - Mounted  ............ 34 250</v>
      </c>
      <c r="K9" s="21" t="s">
        <v>35</v>
      </c>
      <c r="M9" s="6">
        <v>8</v>
      </c>
      <c r="N9" s="6">
        <v>9180</v>
      </c>
      <c r="O9" s="6">
        <v>5.83</v>
      </c>
      <c r="P9" s="6">
        <v>1</v>
      </c>
      <c r="Q9" s="6">
        <v>1</v>
      </c>
      <c r="R9" s="6">
        <v>2</v>
      </c>
      <c r="S9" s="6">
        <v>20</v>
      </c>
      <c r="T9" s="6">
        <v>1</v>
      </c>
      <c r="U9" s="6">
        <v>1</v>
      </c>
      <c r="V9" s="6">
        <v>2</v>
      </c>
      <c r="W9" s="6">
        <v>20</v>
      </c>
      <c r="X9" s="6">
        <v>53</v>
      </c>
      <c r="Y9" s="6">
        <v>54</v>
      </c>
      <c r="Z9" s="6">
        <v>55</v>
      </c>
      <c r="AA9" s="6">
        <v>52</v>
      </c>
      <c r="AB9" s="6">
        <v>53</v>
      </c>
    </row>
    <row r="10" spans="1:28" ht="15.75" customHeight="1" x14ac:dyDescent="0.2">
      <c r="A10" s="16" t="str">
        <f t="shared" si="0"/>
        <v>x</v>
      </c>
      <c r="B10" s="17" t="s">
        <v>30</v>
      </c>
      <c r="C10" s="18" t="s">
        <v>36</v>
      </c>
      <c r="D10" s="19">
        <f t="shared" si="1"/>
        <v>3410</v>
      </c>
      <c r="E10" s="16">
        <f>IFERROR(VLOOKUP(VP_GUARD_LV-1,$M$2:$AB$10,11,FALSE),"--")</f>
        <v>20</v>
      </c>
      <c r="F10" s="16">
        <f>IF(A10="x",MAX($F$11:$F$23)+1,0)</f>
        <v>8</v>
      </c>
      <c r="G10" s="16">
        <f t="shared" si="3"/>
        <v>1.8</v>
      </c>
      <c r="H10" s="16">
        <f t="shared" si="4"/>
        <v>1.8800000000000001</v>
      </c>
      <c r="I10" s="20" t="str">
        <f t="shared" si="5"/>
        <v xml:space="preserve">  Spec - Flying  ............. 3 410</v>
      </c>
      <c r="K10" s="21" t="s">
        <v>37</v>
      </c>
      <c r="M10" s="6">
        <v>9</v>
      </c>
      <c r="N10" s="6">
        <v>16530</v>
      </c>
      <c r="O10" s="6">
        <v>10.5</v>
      </c>
      <c r="P10" s="6">
        <v>1</v>
      </c>
      <c r="Q10" s="6">
        <v>1</v>
      </c>
      <c r="R10" s="6">
        <v>2</v>
      </c>
      <c r="S10" s="6">
        <v>20</v>
      </c>
      <c r="T10" s="6">
        <v>1</v>
      </c>
      <c r="U10" s="6">
        <v>1</v>
      </c>
      <c r="V10" s="6">
        <v>2</v>
      </c>
      <c r="W10" s="6">
        <v>20</v>
      </c>
      <c r="X10" s="6">
        <v>53</v>
      </c>
      <c r="Y10" s="6">
        <v>54</v>
      </c>
      <c r="Z10" s="6">
        <v>55</v>
      </c>
      <c r="AA10" s="6">
        <v>52</v>
      </c>
      <c r="AB10" s="6">
        <v>53</v>
      </c>
    </row>
    <row r="11" spans="1:28" ht="15.75" customHeight="1" x14ac:dyDescent="0.2">
      <c r="A11" s="16" t="str">
        <f t="shared" ref="A11:A14" si="6">IF(E11="--","--","x")</f>
        <v>x</v>
      </c>
      <c r="B11" s="22"/>
      <c r="C11" s="18" t="s">
        <v>38</v>
      </c>
      <c r="D11" s="19">
        <f t="shared" si="1"/>
        <v>67800</v>
      </c>
      <c r="E11" s="16">
        <f>IFERROR(VLOOKUP(VP_GUARD_LV-1,$M$2:$AB$10,4,FALSE),"--")</f>
        <v>1</v>
      </c>
      <c r="F11" s="16">
        <f t="shared" ref="F11:F13" si="7">IF(A11="x",MAX($F12:$F$14,$F$20:$F$23)+1,0)</f>
        <v>7</v>
      </c>
      <c r="G11" s="16">
        <f t="shared" si="3"/>
        <v>1.8</v>
      </c>
      <c r="H11" s="16">
        <f t="shared" si="4"/>
        <v>1.87</v>
      </c>
      <c r="I11" s="20" t="str">
        <f t="shared" si="5"/>
        <v xml:space="preserve">  Guard - Melee  ............. 67 800</v>
      </c>
      <c r="K11" s="21" t="s">
        <v>39</v>
      </c>
    </row>
    <row r="12" spans="1:28" ht="15.75" customHeight="1" x14ac:dyDescent="0.2">
      <c r="A12" s="16" t="str">
        <f t="shared" si="6"/>
        <v>x</v>
      </c>
      <c r="B12" s="22"/>
      <c r="C12" s="18" t="s">
        <v>40</v>
      </c>
      <c r="D12" s="19">
        <f t="shared" si="1"/>
        <v>67400</v>
      </c>
      <c r="E12" s="16">
        <f>IFERROR(VLOOKUP(VP_GUARD_LV-1,$M$2:$AB$10,5,FALSE),"--")</f>
        <v>1</v>
      </c>
      <c r="F12" s="16">
        <f t="shared" si="7"/>
        <v>6</v>
      </c>
      <c r="G12" s="16">
        <f t="shared" si="3"/>
        <v>1.8</v>
      </c>
      <c r="H12" s="16">
        <f t="shared" si="4"/>
        <v>1.86</v>
      </c>
      <c r="I12" s="20" t="str">
        <f t="shared" si="5"/>
        <v xml:space="preserve">  Guard - Ranged  ............ 67 400</v>
      </c>
      <c r="K12" s="21" t="s">
        <v>41</v>
      </c>
    </row>
    <row r="13" spans="1:28" ht="15.75" customHeight="1" x14ac:dyDescent="0.2">
      <c r="A13" s="16" t="str">
        <f t="shared" si="6"/>
        <v>x</v>
      </c>
      <c r="B13" s="22"/>
      <c r="C13" s="18" t="s">
        <v>42</v>
      </c>
      <c r="D13" s="19">
        <f t="shared" si="1"/>
        <v>33550</v>
      </c>
      <c r="E13" s="16">
        <f>IFERROR(VLOOKUP(VP_GUARD_LV-1,$M$2:$AB$10,6,FALSE),"--")</f>
        <v>2</v>
      </c>
      <c r="F13" s="16">
        <f t="shared" si="7"/>
        <v>5</v>
      </c>
      <c r="G13" s="16">
        <f t="shared" si="3"/>
        <v>1.8</v>
      </c>
      <c r="H13" s="16">
        <f t="shared" si="4"/>
        <v>1.85</v>
      </c>
      <c r="I13" s="20" t="str">
        <f t="shared" si="5"/>
        <v xml:space="preserve">  Guard - Mounted  ........... 33 550</v>
      </c>
      <c r="K13" s="23" t="s">
        <v>43</v>
      </c>
    </row>
    <row r="14" spans="1:28" ht="15.75" customHeight="1" x14ac:dyDescent="0.2">
      <c r="A14" s="16" t="str">
        <f t="shared" si="6"/>
        <v>x</v>
      </c>
      <c r="B14" s="22"/>
      <c r="C14" s="18" t="s">
        <v>44</v>
      </c>
      <c r="D14" s="19">
        <f t="shared" si="1"/>
        <v>3335</v>
      </c>
      <c r="E14" s="16">
        <f>IFERROR(VLOOKUP(VP_GUARD_LV-1,$M$2:$AB$10,7,FALSE),"--")</f>
        <v>20</v>
      </c>
      <c r="F14" s="16">
        <f>IF(A14="x",MAX($F$20:$F$23)+1,0)</f>
        <v>4</v>
      </c>
      <c r="G14" s="16">
        <f t="shared" si="3"/>
        <v>1.8</v>
      </c>
      <c r="H14" s="16">
        <f t="shared" si="4"/>
        <v>1.84</v>
      </c>
      <c r="I14" s="20" t="str">
        <f t="shared" si="5"/>
        <v xml:space="preserve">  Guard - Flying  ............ 3 335</v>
      </c>
      <c r="K14" s="24" t="s">
        <v>45</v>
      </c>
    </row>
    <row r="15" spans="1:28" ht="15.75" customHeight="1" x14ac:dyDescent="0.2">
      <c r="A15" s="12"/>
      <c r="B15" s="13"/>
      <c r="C15" s="14" t="str">
        <f>"LV."&amp;VP_GUARD_LV</f>
        <v>LV.9</v>
      </c>
      <c r="D15" s="25"/>
      <c r="E15" s="13"/>
      <c r="F15" s="13"/>
      <c r="G15" s="13"/>
      <c r="H15" s="13"/>
      <c r="I15" s="15" t="str">
        <f>"--- "&amp;C15&amp;" ---"</f>
        <v>--- LV.9 ---</v>
      </c>
      <c r="K15" s="21" t="s">
        <v>46</v>
      </c>
    </row>
    <row r="16" spans="1:28" ht="15.75" customHeight="1" x14ac:dyDescent="0.2">
      <c r="A16" s="16" t="str">
        <f>IF(E16="--","--",IF(OR(VP_SPEC_LV=VP_GUARD_LV,B16="x"),"x",""))</f>
        <v/>
      </c>
      <c r="B16" s="17"/>
      <c r="C16" s="18" t="s">
        <v>31</v>
      </c>
      <c r="D16" s="19">
        <f t="shared" ref="D16:D23" si="8">IFERROR((ROUNDDOWN(H16/SUM($H$7:$H$23)*$D$1,-2))/E16,"--")</f>
        <v>0</v>
      </c>
      <c r="E16" s="16">
        <f>IFERROR(VLOOKUP(VP_GUARD_LV,$M$2:$AB$10,8,FALSE),"--")</f>
        <v>1</v>
      </c>
      <c r="F16" s="16">
        <f t="shared" ref="F16:F18" si="9">IF(A16="x",MAX($F17:$F$19,$F$11:$F$14,$F$20:$F$23)+1,0)</f>
        <v>0</v>
      </c>
      <c r="G16" s="16">
        <f t="shared" ref="G16:G23" si="10">IF(A16="x",1,0)</f>
        <v>0</v>
      </c>
      <c r="H16" s="16">
        <f t="shared" ref="H16:H23" si="11">G16+F16/100</f>
        <v>0</v>
      </c>
      <c r="I16" s="20" t="str">
        <f t="shared" ref="I16:I23" si="12">IF(A16="x","  "&amp;C16&amp;"  "&amp;REPT(".",26-LEN(C16))&amp;" "&amp;TEXT(ROUND(D16,0),"# ###"),"")</f>
        <v/>
      </c>
    </row>
    <row r="17" spans="1:11" ht="15.75" customHeight="1" x14ac:dyDescent="0.2">
      <c r="A17" s="16" t="str">
        <f>IF(E17="--","--",IF(OR(VP_SPEC_LV=VP_GUARD_LV,B17="x"),"x",""))</f>
        <v/>
      </c>
      <c r="B17" s="17"/>
      <c r="C17" s="18" t="s">
        <v>32</v>
      </c>
      <c r="D17" s="19">
        <f t="shared" si="8"/>
        <v>0</v>
      </c>
      <c r="E17" s="16">
        <f>IFERROR(VLOOKUP(VP_GUARD_LV,$M$2:$AB$10,9,FALSE),"--")</f>
        <v>1</v>
      </c>
      <c r="F17" s="16">
        <f t="shared" si="9"/>
        <v>0</v>
      </c>
      <c r="G17" s="16">
        <f t="shared" si="10"/>
        <v>0</v>
      </c>
      <c r="H17" s="16">
        <f t="shared" si="11"/>
        <v>0</v>
      </c>
      <c r="I17" s="20" t="str">
        <f t="shared" si="12"/>
        <v/>
      </c>
      <c r="K17" s="26" t="s">
        <v>47</v>
      </c>
    </row>
    <row r="18" spans="1:11" ht="15.75" customHeight="1" x14ac:dyDescent="0.2">
      <c r="A18" s="16" t="str">
        <f>IF(E18="--","--",IF(OR(VP_SPEC_LV=VP_GUARD_LV,B18="x"),"x",""))</f>
        <v/>
      </c>
      <c r="B18" s="17"/>
      <c r="C18" s="18" t="s">
        <v>34</v>
      </c>
      <c r="D18" s="19">
        <f t="shared" si="8"/>
        <v>0</v>
      </c>
      <c r="E18" s="16">
        <f>IFERROR(VLOOKUP(VP_GUARD_LV,$M$2:$AB$10,10,FALSE),"--")</f>
        <v>2</v>
      </c>
      <c r="F18" s="16">
        <f t="shared" si="9"/>
        <v>0</v>
      </c>
      <c r="G18" s="16">
        <f t="shared" si="10"/>
        <v>0</v>
      </c>
      <c r="H18" s="16">
        <f t="shared" si="11"/>
        <v>0</v>
      </c>
      <c r="I18" s="20" t="str">
        <f t="shared" si="12"/>
        <v/>
      </c>
      <c r="K18" s="1" t="s">
        <v>48</v>
      </c>
    </row>
    <row r="19" spans="1:11" ht="15.75" customHeight="1" x14ac:dyDescent="0.2">
      <c r="A19" s="16" t="str">
        <f>IF(E19="--","--",IF(OR(VP_SPEC_LV=VP_GUARD_LV,B19="x"),"x",""))</f>
        <v/>
      </c>
      <c r="B19" s="27"/>
      <c r="C19" s="18" t="s">
        <v>36</v>
      </c>
      <c r="D19" s="19">
        <f t="shared" si="8"/>
        <v>0</v>
      </c>
      <c r="E19" s="16">
        <f>IFERROR(VLOOKUP(VP_GUARD_LV,$M$2:$AB$10,11,FALSE),"--")</f>
        <v>20</v>
      </c>
      <c r="F19" s="16">
        <f>IF(A19="x",MAX($F$11:$F$13,$F$20:$F$23)+1,0)</f>
        <v>0</v>
      </c>
      <c r="G19" s="16">
        <f t="shared" si="10"/>
        <v>0</v>
      </c>
      <c r="H19" s="16">
        <f t="shared" si="11"/>
        <v>0</v>
      </c>
      <c r="I19" s="20" t="str">
        <f t="shared" si="12"/>
        <v/>
      </c>
    </row>
    <row r="20" spans="1:11" ht="15.75" customHeight="1" x14ac:dyDescent="0.2">
      <c r="A20" s="16" t="str">
        <f t="shared" ref="A20:A23" si="13">IF(E20="--","--","x")</f>
        <v>x</v>
      </c>
      <c r="B20" s="22"/>
      <c r="C20" s="18" t="s">
        <v>38</v>
      </c>
      <c r="D20" s="19">
        <f t="shared" si="8"/>
        <v>37300</v>
      </c>
      <c r="E20" s="16">
        <f>IFERROR(VLOOKUP(VP_GUARD_LV,$M$2:$AB$10,4,FALSE),"--")</f>
        <v>1</v>
      </c>
      <c r="F20" s="16">
        <f t="shared" ref="F20:F22" si="14">IF(A20="x",MAX($F21:$F$23)+1,0)</f>
        <v>3</v>
      </c>
      <c r="G20" s="16">
        <f t="shared" si="10"/>
        <v>1</v>
      </c>
      <c r="H20" s="16">
        <f t="shared" si="11"/>
        <v>1.03</v>
      </c>
      <c r="I20" s="20" t="str">
        <f t="shared" si="12"/>
        <v xml:space="preserve">  Guard - Melee  ............. 37 300</v>
      </c>
    </row>
    <row r="21" spans="1:11" ht="15.75" customHeight="1" x14ac:dyDescent="0.2">
      <c r="A21" s="16" t="str">
        <f t="shared" si="13"/>
        <v>x</v>
      </c>
      <c r="B21" s="22"/>
      <c r="C21" s="18" t="s">
        <v>40</v>
      </c>
      <c r="D21" s="19">
        <f t="shared" si="8"/>
        <v>37000</v>
      </c>
      <c r="E21" s="16">
        <f>IFERROR(VLOOKUP(VP_GUARD_LV,$M$2:$AB$10,5,FALSE),"--")</f>
        <v>1</v>
      </c>
      <c r="F21" s="16">
        <f t="shared" si="14"/>
        <v>2</v>
      </c>
      <c r="G21" s="16">
        <f t="shared" si="10"/>
        <v>1</v>
      </c>
      <c r="H21" s="16">
        <f t="shared" si="11"/>
        <v>1.02</v>
      </c>
      <c r="I21" s="20" t="str">
        <f t="shared" si="12"/>
        <v xml:space="preserve">  Guard - Ranged  ............ 37 000</v>
      </c>
    </row>
    <row r="22" spans="1:11" ht="15.75" customHeight="1" x14ac:dyDescent="0.2">
      <c r="A22" s="16" t="str">
        <f t="shared" si="13"/>
        <v>x</v>
      </c>
      <c r="B22" s="22"/>
      <c r="C22" s="18" t="s">
        <v>42</v>
      </c>
      <c r="D22" s="19">
        <f t="shared" si="8"/>
        <v>18300</v>
      </c>
      <c r="E22" s="16">
        <f>IFERROR(VLOOKUP(VP_GUARD_LV,$M$2:$AB$10,6,FALSE),"--")</f>
        <v>2</v>
      </c>
      <c r="F22" s="16">
        <f t="shared" si="14"/>
        <v>1</v>
      </c>
      <c r="G22" s="16">
        <f t="shared" si="10"/>
        <v>1</v>
      </c>
      <c r="H22" s="16">
        <f t="shared" si="11"/>
        <v>1.01</v>
      </c>
      <c r="I22" s="20" t="str">
        <f t="shared" si="12"/>
        <v xml:space="preserve">  Guard - Mounted  ........... 18 300</v>
      </c>
    </row>
    <row r="23" spans="1:11" ht="15.75" customHeight="1" x14ac:dyDescent="0.2">
      <c r="A23" s="16" t="str">
        <f t="shared" si="13"/>
        <v>x</v>
      </c>
      <c r="B23" s="22"/>
      <c r="C23" s="18" t="s">
        <v>44</v>
      </c>
      <c r="D23" s="19">
        <f t="shared" si="8"/>
        <v>1810</v>
      </c>
      <c r="E23" s="16">
        <f>IFERROR(VLOOKUP(VP_GUARD_LV,$M$2:$AB$10,7,FALSE),"--")</f>
        <v>20</v>
      </c>
      <c r="F23" s="16">
        <v>0</v>
      </c>
      <c r="G23" s="16">
        <f t="shared" si="10"/>
        <v>1</v>
      </c>
      <c r="H23" s="16">
        <f t="shared" si="11"/>
        <v>1</v>
      </c>
      <c r="I23" s="20" t="str">
        <f t="shared" si="12"/>
        <v xml:space="preserve">  Guard - Flying  ............ 1 810</v>
      </c>
    </row>
    <row r="24" spans="1:11" ht="15.75" customHeight="1" x14ac:dyDescent="0.2">
      <c r="A24" s="12"/>
      <c r="B24" s="13"/>
      <c r="C24" s="14" t="s">
        <v>49</v>
      </c>
      <c r="D24" s="25"/>
      <c r="E24" s="13"/>
      <c r="F24" s="13"/>
      <c r="G24" s="13"/>
      <c r="H24" s="13"/>
      <c r="I24" s="15" t="str">
        <f>"--- Monsters (MAX) ----"</f>
        <v>--- Monsters (MAX) ----</v>
      </c>
    </row>
    <row r="25" spans="1:11" ht="15.75" customHeight="1" x14ac:dyDescent="0.2">
      <c r="A25" s="16" t="str">
        <f>IF(OR(VP_MONST_LV&gt;=VP_GUARD_LV-1,B25="x"),"x","")</f>
        <v>x</v>
      </c>
      <c r="B25" s="22"/>
      <c r="C25" s="18" t="str">
        <f>"Monsters lv."&amp;VP_GUARD_LV-1</f>
        <v>Monsters lv.8</v>
      </c>
      <c r="D25" s="19">
        <f>IFERROR(IF(A25="x",ROUNDDOWN(D11*90%/E25/4,-1),0),"--")</f>
        <v>280</v>
      </c>
      <c r="E25" s="16">
        <f>VLOOKUP(VP_GUARD_LV-1,$M$2:$AB$10,16,FALSE)</f>
        <v>53</v>
      </c>
      <c r="F25" s="16">
        <v>0</v>
      </c>
      <c r="G25" s="16" t="s">
        <v>14</v>
      </c>
      <c r="H25" s="16" t="s">
        <v>14</v>
      </c>
      <c r="I25" s="20" t="str">
        <f>IFERROR(IF(A25="x","  "&amp;C25&amp;"  "&amp;REPT(".",26-LEN(C25))&amp;" "&amp;TEXT(ROUND(D25,0),"# ###"),""),"")</f>
        <v xml:space="preserve">  Monsters lv.8  ............. 280</v>
      </c>
    </row>
    <row r="26" spans="1:11" ht="15.75" customHeight="1" x14ac:dyDescent="0.2">
      <c r="A26" s="16" t="str">
        <f>IF(OR(VP_MONST_LV&gt;=VP_GUARD_LV,B26="x"),"x","")</f>
        <v>x</v>
      </c>
      <c r="B26" s="22"/>
      <c r="C26" s="18" t="str">
        <f>"Monsters lv."&amp;VP_GUARD_LV</f>
        <v>Monsters lv.9</v>
      </c>
      <c r="D26" s="19">
        <f>IF(A26="x",ROUNDDOWN(D20*90%/E26/4,-1),0)</f>
        <v>150</v>
      </c>
      <c r="E26" s="16">
        <f>VLOOKUP(VP_GUARD_LV,$M$2:$AB$10,16,FALSE)</f>
        <v>53</v>
      </c>
      <c r="F26" s="16">
        <v>0</v>
      </c>
      <c r="G26" s="16" t="s">
        <v>14</v>
      </c>
      <c r="H26" s="16" t="s">
        <v>14</v>
      </c>
      <c r="I26" s="20" t="str">
        <f>IF(A26="x","  "&amp;C26&amp;"  "&amp;REPT(".",26-LEN(C26))&amp;" "&amp;TEXT(ROUND(D26,0),"# ###"),"")</f>
        <v xml:space="preserve">  Monsters lv.9  ............. 150</v>
      </c>
    </row>
    <row r="27" spans="1:11" ht="15.75" customHeight="1" x14ac:dyDescent="0.2">
      <c r="A27" s="12"/>
      <c r="B27" s="13"/>
      <c r="C27" s="14" t="s">
        <v>50</v>
      </c>
      <c r="D27" s="25"/>
      <c r="E27" s="13"/>
      <c r="F27" s="13"/>
      <c r="G27" s="13"/>
      <c r="H27" s="13"/>
      <c r="I27" s="15" t="str">
        <f>"--- Mercs (MAX) ----"</f>
        <v>--- Mercs (MAX) ----</v>
      </c>
    </row>
    <row r="28" spans="1:11" ht="15.75" customHeight="1" x14ac:dyDescent="0.2">
      <c r="A28" s="16" t="s">
        <v>30</v>
      </c>
      <c r="B28" s="22"/>
      <c r="C28" s="18" t="s">
        <v>51</v>
      </c>
      <c r="D28" s="19">
        <f>ROUNDDOWN($D$20*95%/IF(VP_GUARD_LV=9,2,IF(VP_GUARD_LV=8,3.6,IF(VP_GUARD_LV=7,6.5,12))),-1)</f>
        <v>17710</v>
      </c>
      <c r="E28" s="16" t="s">
        <v>14</v>
      </c>
      <c r="F28" s="16">
        <v>0</v>
      </c>
      <c r="G28" s="16" t="s">
        <v>14</v>
      </c>
      <c r="H28" s="16" t="s">
        <v>14</v>
      </c>
      <c r="I28" s="20" t="str">
        <f t="shared" ref="I28:I29" si="15">IF(A28="x","  "&amp;C28&amp;"  "&amp;REPT(".",26-LEN(C28))&amp;" "&amp;TEXT(ROUND(D28,0),"# ###"),"")</f>
        <v xml:space="preserve">  Arach/Guard/Spec  .......... 17 710</v>
      </c>
    </row>
    <row r="29" spans="1:11" ht="15.75" customHeight="1" x14ac:dyDescent="0.2">
      <c r="A29" s="16" t="s">
        <v>30</v>
      </c>
      <c r="B29" s="22"/>
      <c r="C29" s="18" t="s">
        <v>52</v>
      </c>
      <c r="D29" s="19">
        <f>ROUNDDOWN($D$20*90%/IF(VP_GUARD_LV=3,7,IF(VP_GUARD_LV=9,5,IF(VP_GUARD_LV=8,8.2,IF(VP_GUARD_LV=7,15,27)))),-1)</f>
        <v>6710</v>
      </c>
      <c r="E29" s="16" t="s">
        <v>14</v>
      </c>
      <c r="F29" s="16">
        <v>0</v>
      </c>
      <c r="G29" s="16" t="s">
        <v>14</v>
      </c>
      <c r="H29" s="16" t="s">
        <v>14</v>
      </c>
      <c r="I29" s="20" t="str">
        <f t="shared" si="15"/>
        <v xml:space="preserve">  Monster Hunter  ............ 6 710</v>
      </c>
    </row>
  </sheetData>
  <mergeCells count="1">
    <mergeCell ref="I3:I4"/>
  </mergeCells>
  <dataValidations count="1">
    <dataValidation type="decimal" allowBlank="1" showDropDown="1" showErrorMessage="1" sqref="D2:D4">
      <formula1>1</formula1>
      <formula2>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O41"/>
  <sheetViews>
    <sheetView tabSelected="1" workbookViewId="0">
      <selection activeCell="M19" sqref="M19"/>
    </sheetView>
  </sheetViews>
  <sheetFormatPr defaultColWidth="12.7109375" defaultRowHeight="15.75" customHeight="1" x14ac:dyDescent="0.2"/>
  <cols>
    <col min="1" max="2" width="5.140625" customWidth="1"/>
    <col min="3" max="3" width="16.140625" customWidth="1"/>
    <col min="4" max="4" width="12" customWidth="1"/>
    <col min="5" max="5" width="7.42578125" hidden="1" customWidth="1"/>
    <col min="6" max="6" width="4.85546875" hidden="1" customWidth="1"/>
    <col min="7" max="7" width="10.28515625" hidden="1" customWidth="1"/>
    <col min="8" max="8" width="4.28515625" hidden="1" customWidth="1"/>
    <col min="9" max="9" width="5" hidden="1" customWidth="1"/>
    <col min="10" max="10" width="4.7109375" hidden="1" customWidth="1"/>
    <col min="11" max="11" width="41.140625" customWidth="1"/>
  </cols>
  <sheetData>
    <row r="1" spans="1:13" ht="15.75" customHeight="1" x14ac:dyDescent="0.2">
      <c r="A1" s="1"/>
      <c r="B1" s="1"/>
      <c r="C1" s="2" t="s">
        <v>53</v>
      </c>
      <c r="D1" s="28">
        <v>600000</v>
      </c>
      <c r="L1" s="1"/>
      <c r="M1" s="1"/>
    </row>
    <row r="2" spans="1:13" ht="15.75" customHeight="1" x14ac:dyDescent="0.2">
      <c r="A2" s="1"/>
      <c r="B2" s="1"/>
      <c r="C2" s="2" t="s">
        <v>13</v>
      </c>
      <c r="D2" s="5">
        <v>9</v>
      </c>
      <c r="L2" s="1"/>
      <c r="M2" s="2" t="s">
        <v>17</v>
      </c>
    </row>
    <row r="3" spans="1:13" ht="15.75" customHeight="1" x14ac:dyDescent="0.2">
      <c r="A3" s="1"/>
      <c r="B3" s="1"/>
      <c r="C3" s="2" t="s">
        <v>15</v>
      </c>
      <c r="D3" s="5">
        <v>8</v>
      </c>
      <c r="K3" s="52" t="s">
        <v>54</v>
      </c>
      <c r="L3" s="1"/>
      <c r="M3" s="1" t="s">
        <v>55</v>
      </c>
    </row>
    <row r="4" spans="1:13" ht="15.75" customHeight="1" x14ac:dyDescent="0.2">
      <c r="A4" s="1"/>
      <c r="B4" s="1"/>
      <c r="C4" s="2" t="s">
        <v>18</v>
      </c>
      <c r="D4" s="5">
        <v>9</v>
      </c>
      <c r="K4" s="51"/>
      <c r="L4" s="1"/>
      <c r="M4" s="11" t="s">
        <v>56</v>
      </c>
    </row>
    <row r="5" spans="1:13" ht="15.75" customHeight="1" x14ac:dyDescent="0.2">
      <c r="A5" s="29" t="s">
        <v>20</v>
      </c>
      <c r="B5" s="29" t="s">
        <v>21</v>
      </c>
      <c r="C5" s="30" t="s">
        <v>22</v>
      </c>
      <c r="D5" s="29" t="s">
        <v>23</v>
      </c>
      <c r="E5" s="29" t="s">
        <v>57</v>
      </c>
      <c r="F5" s="29" t="s">
        <v>24</v>
      </c>
      <c r="G5" s="30" t="s">
        <v>58</v>
      </c>
      <c r="H5" s="30" t="s">
        <v>25</v>
      </c>
      <c r="I5" s="30" t="s">
        <v>26</v>
      </c>
      <c r="J5" s="30" t="s">
        <v>27</v>
      </c>
      <c r="K5" s="29" t="str">
        <f>"Solo CP - "&amp;"g"&amp;GUARD_LV&amp;"-s"&amp;SPEC_LV&amp;"-m"&amp;MONST_LV&amp;" - "&amp;TEXT(ROUND(D1/1000,0)&amp;"k","# ###")&amp;" leadership"</f>
        <v>Solo CP - g9-s8-m9 - 600k leadership</v>
      </c>
      <c r="L5" s="1"/>
      <c r="M5" s="1"/>
    </row>
    <row r="6" spans="1:13" ht="15.75" customHeight="1" x14ac:dyDescent="0.2">
      <c r="A6" s="12"/>
      <c r="B6" s="13"/>
      <c r="C6" s="14" t="s">
        <v>59</v>
      </c>
      <c r="D6" s="13"/>
      <c r="E6" s="31"/>
      <c r="F6" s="13"/>
      <c r="G6" s="31"/>
      <c r="H6" s="13"/>
      <c r="I6" s="13"/>
      <c r="J6" s="32"/>
      <c r="K6" s="33" t="str">
        <f>IF(COUNTIF(A7:A14,"x")&gt;=1,"--- lv.9 ---","")</f>
        <v>--- lv.9 ---</v>
      </c>
      <c r="L6" s="1"/>
    </row>
    <row r="7" spans="1:13" ht="15.75" customHeight="1" x14ac:dyDescent="0.2">
      <c r="A7" s="34" t="str">
        <f>IF(OR(D2&gt;=9,B7="x"),"x","")</f>
        <v>x</v>
      </c>
      <c r="B7" s="17" t="s">
        <v>30</v>
      </c>
      <c r="C7" s="18" t="s">
        <v>60</v>
      </c>
      <c r="D7" s="35">
        <f t="shared" ref="D7:D14" si="0">IF(A7="x",(ROUNDDOWN(J7/SUM($J$7:$J$32)*$D$1,-2))/F7,)</f>
        <v>35600</v>
      </c>
      <c r="E7" s="36">
        <v>16530</v>
      </c>
      <c r="F7" s="34">
        <v>1</v>
      </c>
      <c r="G7" s="37">
        <f t="shared" ref="G7:G14" si="1">D7*E7</f>
        <v>588468000</v>
      </c>
      <c r="H7" s="34">
        <f t="shared" ref="H7:H10" si="2">IF(A7="x",MAX(H$11:H$32)+6,0)</f>
        <v>18</v>
      </c>
      <c r="I7" s="34">
        <f t="shared" ref="I7:I14" si="3">IF(A7="x",1,)</f>
        <v>1</v>
      </c>
      <c r="J7" s="34">
        <f t="shared" ref="J7:J14" si="4">I7+(H7/100)</f>
        <v>1.18</v>
      </c>
      <c r="K7" s="38" t="str">
        <f t="shared" ref="K7:K14" si="5">IF(A7="x",C7&amp;"  "&amp;REPT(".",26-LEN(C7))&amp;" "&amp;TEXT(ROUND(D7,0),"# ###"),"")</f>
        <v>Punisher II  ............... 35 600</v>
      </c>
      <c r="L7" s="1"/>
      <c r="M7" s="2" t="s">
        <v>33</v>
      </c>
    </row>
    <row r="8" spans="1:13" ht="15.75" customHeight="1" x14ac:dyDescent="0.2">
      <c r="A8" s="34" t="str">
        <f>IF(OR(GUARD_LV&gt;=9,B8="x"),"x","")</f>
        <v>x</v>
      </c>
      <c r="B8" s="17" t="s">
        <v>30</v>
      </c>
      <c r="C8" s="18" t="s">
        <v>61</v>
      </c>
      <c r="D8" s="35">
        <f t="shared" si="0"/>
        <v>35600</v>
      </c>
      <c r="E8" s="36">
        <v>16530</v>
      </c>
      <c r="F8" s="34">
        <v>1</v>
      </c>
      <c r="G8" s="37">
        <f t="shared" si="1"/>
        <v>588468000</v>
      </c>
      <c r="H8" s="34">
        <f t="shared" si="2"/>
        <v>18</v>
      </c>
      <c r="I8" s="34">
        <f t="shared" si="3"/>
        <v>1</v>
      </c>
      <c r="J8" s="34">
        <f t="shared" si="4"/>
        <v>1.18</v>
      </c>
      <c r="K8" s="38" t="str">
        <f t="shared" si="5"/>
        <v>Purifyer II  ............... 35 600</v>
      </c>
      <c r="L8" s="1"/>
      <c r="M8" s="21" t="s">
        <v>35</v>
      </c>
    </row>
    <row r="9" spans="1:13" ht="15.75" customHeight="1" x14ac:dyDescent="0.2">
      <c r="A9" s="34" t="str">
        <f>IF(OR(GUARD_LV&gt;=9,B9="x"),"x","")</f>
        <v>x</v>
      </c>
      <c r="B9" s="17" t="s">
        <v>30</v>
      </c>
      <c r="C9" s="18" t="s">
        <v>62</v>
      </c>
      <c r="D9" s="35">
        <f t="shared" si="0"/>
        <v>17800</v>
      </c>
      <c r="E9" s="36">
        <v>33060</v>
      </c>
      <c r="F9" s="34">
        <v>2</v>
      </c>
      <c r="G9" s="37">
        <f t="shared" si="1"/>
        <v>588468000</v>
      </c>
      <c r="H9" s="34">
        <f t="shared" si="2"/>
        <v>18</v>
      </c>
      <c r="I9" s="34">
        <f t="shared" si="3"/>
        <v>1</v>
      </c>
      <c r="J9" s="34">
        <f t="shared" si="4"/>
        <v>1.18</v>
      </c>
      <c r="K9" s="38" t="str">
        <f t="shared" si="5"/>
        <v>Smiter II  ................. 17 800</v>
      </c>
      <c r="L9" s="1"/>
      <c r="M9" s="21" t="s">
        <v>63</v>
      </c>
    </row>
    <row r="10" spans="1:13" ht="15.75" customHeight="1" x14ac:dyDescent="0.2">
      <c r="A10" s="34" t="str">
        <f>IF(OR(GUARD_LV&gt;=9,B10="x"),"x","")</f>
        <v>x</v>
      </c>
      <c r="B10" s="17" t="s">
        <v>30</v>
      </c>
      <c r="C10" s="18" t="s">
        <v>64</v>
      </c>
      <c r="D10" s="35">
        <f t="shared" si="0"/>
        <v>1780</v>
      </c>
      <c r="E10" s="36">
        <v>330600</v>
      </c>
      <c r="F10" s="34">
        <v>20</v>
      </c>
      <c r="G10" s="37">
        <f t="shared" si="1"/>
        <v>588468000</v>
      </c>
      <c r="H10" s="34">
        <f t="shared" si="2"/>
        <v>18</v>
      </c>
      <c r="I10" s="34">
        <f t="shared" si="3"/>
        <v>1</v>
      </c>
      <c r="J10" s="34">
        <f t="shared" si="4"/>
        <v>1.18</v>
      </c>
      <c r="K10" s="38" t="str">
        <f t="shared" si="5"/>
        <v>Corax II  .................. 1 780</v>
      </c>
      <c r="L10" s="1"/>
      <c r="M10" s="21" t="s">
        <v>65</v>
      </c>
    </row>
    <row r="11" spans="1:13" ht="15.75" customHeight="1" x14ac:dyDescent="0.2">
      <c r="A11" s="34" t="str">
        <f>IF(OR(SPEC_LV&gt;=9,B11="x"),"x","")</f>
        <v/>
      </c>
      <c r="B11" s="27"/>
      <c r="C11" s="18" t="s">
        <v>66</v>
      </c>
      <c r="D11" s="35">
        <f t="shared" si="0"/>
        <v>0</v>
      </c>
      <c r="E11" s="36">
        <v>16530</v>
      </c>
      <c r="F11" s="34">
        <v>1</v>
      </c>
      <c r="G11" s="37">
        <f t="shared" si="1"/>
        <v>0</v>
      </c>
      <c r="H11" s="34">
        <f t="shared" ref="H11:H14" si="6">IF(A11="x",MAX(H$16:H$32)+6,0)</f>
        <v>0</v>
      </c>
      <c r="I11" s="34">
        <f t="shared" si="3"/>
        <v>0</v>
      </c>
      <c r="J11" s="34">
        <f t="shared" si="4"/>
        <v>0</v>
      </c>
      <c r="K11" s="38" t="str">
        <f t="shared" si="5"/>
        <v/>
      </c>
      <c r="L11" s="6"/>
      <c r="M11" s="21" t="s">
        <v>67</v>
      </c>
    </row>
    <row r="12" spans="1:13" ht="15.75" customHeight="1" x14ac:dyDescent="0.2">
      <c r="A12" s="34" t="str">
        <f>IF(OR(SPEC_LV&gt;=9,B12="x"),"x","")</f>
        <v/>
      </c>
      <c r="B12" s="17"/>
      <c r="C12" s="18" t="s">
        <v>68</v>
      </c>
      <c r="D12" s="35">
        <f t="shared" si="0"/>
        <v>0</v>
      </c>
      <c r="E12" s="36">
        <v>16530</v>
      </c>
      <c r="F12" s="34">
        <v>1</v>
      </c>
      <c r="G12" s="37">
        <f t="shared" si="1"/>
        <v>0</v>
      </c>
      <c r="H12" s="34">
        <f t="shared" si="6"/>
        <v>0</v>
      </c>
      <c r="I12" s="34">
        <f t="shared" si="3"/>
        <v>0</v>
      </c>
      <c r="J12" s="34">
        <f t="shared" si="4"/>
        <v>0</v>
      </c>
      <c r="K12" s="38" t="str">
        <f t="shared" si="5"/>
        <v/>
      </c>
      <c r="L12" s="1"/>
      <c r="M12" s="21" t="s">
        <v>69</v>
      </c>
    </row>
    <row r="13" spans="1:13" ht="15.75" customHeight="1" x14ac:dyDescent="0.2">
      <c r="A13" s="34" t="str">
        <f>IF(OR(SPEC_LV&gt;=9,B13="x"),"x","")</f>
        <v/>
      </c>
      <c r="B13" s="27"/>
      <c r="C13" s="18" t="s">
        <v>70</v>
      </c>
      <c r="D13" s="35">
        <f t="shared" si="0"/>
        <v>0</v>
      </c>
      <c r="E13" s="36">
        <v>33060</v>
      </c>
      <c r="F13" s="34">
        <v>2</v>
      </c>
      <c r="G13" s="37">
        <f t="shared" si="1"/>
        <v>0</v>
      </c>
      <c r="H13" s="34">
        <f t="shared" si="6"/>
        <v>0</v>
      </c>
      <c r="I13" s="34">
        <f t="shared" si="3"/>
        <v>0</v>
      </c>
      <c r="J13" s="34">
        <f t="shared" si="4"/>
        <v>0</v>
      </c>
      <c r="K13" s="38" t="str">
        <f t="shared" si="5"/>
        <v/>
      </c>
      <c r="L13" s="1"/>
      <c r="M13" s="1"/>
    </row>
    <row r="14" spans="1:13" ht="15.75" customHeight="1" x14ac:dyDescent="0.2">
      <c r="A14" s="34" t="str">
        <f>IF(OR(SPEC_LV&gt;=9,B13="x"),"x","")</f>
        <v/>
      </c>
      <c r="B14" s="17"/>
      <c r="C14" s="18" t="s">
        <v>71</v>
      </c>
      <c r="D14" s="35">
        <f t="shared" si="0"/>
        <v>0</v>
      </c>
      <c r="E14" s="36">
        <v>330600</v>
      </c>
      <c r="F14" s="34">
        <v>20</v>
      </c>
      <c r="G14" s="37">
        <f t="shared" si="1"/>
        <v>0</v>
      </c>
      <c r="H14" s="34">
        <f t="shared" si="6"/>
        <v>0</v>
      </c>
      <c r="I14" s="34">
        <f t="shared" si="3"/>
        <v>0</v>
      </c>
      <c r="J14" s="34">
        <f t="shared" si="4"/>
        <v>0</v>
      </c>
      <c r="K14" s="38" t="str">
        <f t="shared" si="5"/>
        <v/>
      </c>
      <c r="L14" s="1"/>
      <c r="M14" s="26" t="s">
        <v>47</v>
      </c>
    </row>
    <row r="15" spans="1:13" ht="15.75" customHeight="1" x14ac:dyDescent="0.2">
      <c r="A15" s="12"/>
      <c r="B15" s="13"/>
      <c r="C15" s="14" t="s">
        <v>72</v>
      </c>
      <c r="D15" s="25"/>
      <c r="E15" s="31"/>
      <c r="F15" s="13"/>
      <c r="G15" s="31"/>
      <c r="H15" s="13"/>
      <c r="I15" s="13"/>
      <c r="J15" s="32"/>
      <c r="K15" s="33" t="str">
        <f>IF(COUNTIF(A16:A23,"x")&gt;=1,"--- lv.8 ---","")</f>
        <v>--- lv.8 ---</v>
      </c>
      <c r="L15" s="1"/>
      <c r="M15" s="1" t="s">
        <v>48</v>
      </c>
    </row>
    <row r="16" spans="1:13" ht="15.75" customHeight="1" x14ac:dyDescent="0.2">
      <c r="A16" s="34" t="str">
        <f>IF(OR(GUARD_LV&gt;=8,B16="x"),"x","")</f>
        <v>x</v>
      </c>
      <c r="B16" s="17" t="s">
        <v>30</v>
      </c>
      <c r="C16" s="18" t="s">
        <v>73</v>
      </c>
      <c r="D16" s="35">
        <f t="shared" ref="D16:D23" si="7">IF(A16="x",(ROUNDDOWN(J16/SUM($J$7:$J$32)*$D$1,-2))/F16,)</f>
        <v>58000</v>
      </c>
      <c r="E16" s="36">
        <v>9180</v>
      </c>
      <c r="F16" s="34">
        <v>1</v>
      </c>
      <c r="G16" s="37">
        <f t="shared" ref="G16:G23" si="8">D16*E16</f>
        <v>532440000</v>
      </c>
      <c r="H16" s="34">
        <f t="shared" ref="H16:H19" si="9">IF(A16="x",MAX(H$20:H$32)+6,0)</f>
        <v>12</v>
      </c>
      <c r="I16" s="34">
        <f t="shared" ref="I16:I23" si="10">IF(A16="x",1.8,)</f>
        <v>1.8</v>
      </c>
      <c r="J16" s="34">
        <f t="shared" ref="J16:J23" si="11">I16+(H16/100)</f>
        <v>1.92</v>
      </c>
      <c r="K16" s="38" t="str">
        <f t="shared" ref="K16:K23" si="12">IF(A16="x",C16&amp;"  "&amp;REPT(".",26-LEN(C16))&amp;" "&amp;TEXT(ROUND(D16,0),"# ###"),"")</f>
        <v>Punisher I  ................ 58 000</v>
      </c>
      <c r="L16" s="1"/>
    </row>
    <row r="17" spans="1:15" ht="15.75" customHeight="1" x14ac:dyDescent="0.2">
      <c r="A17" s="34" t="str">
        <f>IF(OR(GUARD_LV&gt;=8,B17="x"),"x","")</f>
        <v>x</v>
      </c>
      <c r="B17" s="17" t="s">
        <v>30</v>
      </c>
      <c r="C17" s="18" t="s">
        <v>74</v>
      </c>
      <c r="D17" s="35">
        <f t="shared" si="7"/>
        <v>58000</v>
      </c>
      <c r="E17" s="36">
        <v>9180</v>
      </c>
      <c r="F17" s="34">
        <v>1</v>
      </c>
      <c r="G17" s="37">
        <f t="shared" si="8"/>
        <v>532440000</v>
      </c>
      <c r="H17" s="34">
        <f t="shared" si="9"/>
        <v>12</v>
      </c>
      <c r="I17" s="34">
        <f t="shared" si="10"/>
        <v>1.8</v>
      </c>
      <c r="J17" s="34">
        <f t="shared" si="11"/>
        <v>1.92</v>
      </c>
      <c r="K17" s="38" t="str">
        <f t="shared" si="12"/>
        <v>Purifyer I  ................ 58 000</v>
      </c>
      <c r="L17" s="1"/>
    </row>
    <row r="18" spans="1:15" ht="15.75" customHeight="1" x14ac:dyDescent="0.2">
      <c r="A18" s="34" t="str">
        <f>IF(OR(GUARD_LV&gt;=8,B18="x"),"x","")</f>
        <v>x</v>
      </c>
      <c r="B18" s="17" t="s">
        <v>30</v>
      </c>
      <c r="C18" s="18" t="s">
        <v>75</v>
      </c>
      <c r="D18" s="35">
        <f t="shared" si="7"/>
        <v>29000</v>
      </c>
      <c r="E18" s="36">
        <v>18360</v>
      </c>
      <c r="F18" s="34">
        <v>2</v>
      </c>
      <c r="G18" s="37">
        <f t="shared" si="8"/>
        <v>532440000</v>
      </c>
      <c r="H18" s="34">
        <f t="shared" si="9"/>
        <v>12</v>
      </c>
      <c r="I18" s="34">
        <f t="shared" si="10"/>
        <v>1.8</v>
      </c>
      <c r="J18" s="34">
        <f t="shared" si="11"/>
        <v>1.92</v>
      </c>
      <c r="K18" s="38" t="str">
        <f t="shared" si="12"/>
        <v>Smiter I  .................. 29 000</v>
      </c>
      <c r="L18" s="1"/>
      <c r="M18" s="1"/>
      <c r="O18" s="11"/>
    </row>
    <row r="19" spans="1:15" ht="15.75" customHeight="1" x14ac:dyDescent="0.2">
      <c r="A19" s="34" t="str">
        <f>IF(OR(GUARD_LV&gt;=8,B19="x"),"x","")</f>
        <v>x</v>
      </c>
      <c r="B19" s="17" t="s">
        <v>30</v>
      </c>
      <c r="C19" s="18" t="s">
        <v>76</v>
      </c>
      <c r="D19" s="35">
        <f t="shared" si="7"/>
        <v>2900</v>
      </c>
      <c r="E19" s="36">
        <v>183600</v>
      </c>
      <c r="F19" s="34">
        <v>20</v>
      </c>
      <c r="G19" s="37">
        <f t="shared" si="8"/>
        <v>532440000</v>
      </c>
      <c r="H19" s="34">
        <f t="shared" si="9"/>
        <v>12</v>
      </c>
      <c r="I19" s="34">
        <f t="shared" si="10"/>
        <v>1.8</v>
      </c>
      <c r="J19" s="34">
        <f t="shared" si="11"/>
        <v>1.92</v>
      </c>
      <c r="K19" s="38" t="str">
        <f t="shared" si="12"/>
        <v>Corax I  ................... 2 900</v>
      </c>
      <c r="L19" s="1"/>
      <c r="M19" s="1"/>
    </row>
    <row r="20" spans="1:15" ht="15.75" customHeight="1" x14ac:dyDescent="0.2">
      <c r="A20" s="34" t="str">
        <f>IF(OR(SPEC_LV&gt;=8,B20="x"),"x","")</f>
        <v>x</v>
      </c>
      <c r="B20" s="17" t="s">
        <v>30</v>
      </c>
      <c r="C20" s="18" t="s">
        <v>77</v>
      </c>
      <c r="D20" s="35">
        <f t="shared" si="7"/>
        <v>56200</v>
      </c>
      <c r="E20" s="36">
        <v>9180</v>
      </c>
      <c r="F20" s="34">
        <v>1</v>
      </c>
      <c r="G20" s="37">
        <f t="shared" si="8"/>
        <v>515916000</v>
      </c>
      <c r="H20" s="34">
        <f t="shared" ref="H20:H23" si="13">IF(A20="x",MAX(H$25:H$32)+6,0)</f>
        <v>6</v>
      </c>
      <c r="I20" s="34">
        <f t="shared" si="10"/>
        <v>1.8</v>
      </c>
      <c r="J20" s="34">
        <f t="shared" si="11"/>
        <v>1.86</v>
      </c>
      <c r="K20" s="38" t="str">
        <f t="shared" si="12"/>
        <v>Duelist I  ................. 56 200</v>
      </c>
      <c r="L20" s="1"/>
      <c r="M20" s="1"/>
    </row>
    <row r="21" spans="1:15" ht="15.75" customHeight="1" x14ac:dyDescent="0.2">
      <c r="A21" s="34" t="str">
        <f>IF(OR(SPEC_LV&gt;=8,B21="x"),"x","")</f>
        <v>x</v>
      </c>
      <c r="B21" s="17" t="s">
        <v>30</v>
      </c>
      <c r="C21" s="18" t="s">
        <v>78</v>
      </c>
      <c r="D21" s="35">
        <f t="shared" si="7"/>
        <v>56200</v>
      </c>
      <c r="E21" s="36">
        <v>9180</v>
      </c>
      <c r="F21" s="34">
        <v>1</v>
      </c>
      <c r="G21" s="37">
        <f t="shared" si="8"/>
        <v>515916000</v>
      </c>
      <c r="H21" s="34">
        <f t="shared" si="13"/>
        <v>6</v>
      </c>
      <c r="I21" s="34">
        <f t="shared" si="10"/>
        <v>1.8</v>
      </c>
      <c r="J21" s="34">
        <f t="shared" si="11"/>
        <v>1.86</v>
      </c>
      <c r="K21" s="38" t="str">
        <f t="shared" si="12"/>
        <v>Legitimist I  .............. 56 200</v>
      </c>
      <c r="L21" s="1"/>
      <c r="M21" s="1"/>
    </row>
    <row r="22" spans="1:15" ht="15.75" customHeight="1" x14ac:dyDescent="0.2">
      <c r="A22" s="34" t="str">
        <f>IF(OR(SPEC_LV&gt;=8,B22="x"),"x","")</f>
        <v>x</v>
      </c>
      <c r="B22" s="17" t="s">
        <v>30</v>
      </c>
      <c r="C22" s="18" t="s">
        <v>79</v>
      </c>
      <c r="D22" s="35">
        <f t="shared" si="7"/>
        <v>28100</v>
      </c>
      <c r="E22" s="36">
        <v>18360</v>
      </c>
      <c r="F22" s="34">
        <v>2</v>
      </c>
      <c r="G22" s="37">
        <f t="shared" si="8"/>
        <v>515916000</v>
      </c>
      <c r="H22" s="34">
        <f t="shared" si="13"/>
        <v>6</v>
      </c>
      <c r="I22" s="34">
        <f t="shared" si="10"/>
        <v>1.8</v>
      </c>
      <c r="J22" s="34">
        <f t="shared" si="11"/>
        <v>1.86</v>
      </c>
      <c r="K22" s="38" t="str">
        <f t="shared" si="12"/>
        <v>Whitemane I  ............... 28 100</v>
      </c>
      <c r="L22" s="1"/>
      <c r="M22" s="1"/>
    </row>
    <row r="23" spans="1:15" ht="15.75" customHeight="1" x14ac:dyDescent="0.2">
      <c r="A23" s="34" t="str">
        <f>IF(OR(SPEC_LV&gt;=8,B23="x"),"x","")</f>
        <v>x</v>
      </c>
      <c r="B23" s="17" t="s">
        <v>30</v>
      </c>
      <c r="C23" s="18" t="s">
        <v>80</v>
      </c>
      <c r="D23" s="35">
        <f t="shared" si="7"/>
        <v>2810</v>
      </c>
      <c r="E23" s="36">
        <v>183600</v>
      </c>
      <c r="F23" s="34">
        <v>20</v>
      </c>
      <c r="G23" s="37">
        <f t="shared" si="8"/>
        <v>515916000</v>
      </c>
      <c r="H23" s="34">
        <f t="shared" si="13"/>
        <v>6</v>
      </c>
      <c r="I23" s="34">
        <f t="shared" si="10"/>
        <v>1.8</v>
      </c>
      <c r="J23" s="34">
        <f t="shared" si="11"/>
        <v>1.86</v>
      </c>
      <c r="K23" s="38" t="str">
        <f t="shared" si="12"/>
        <v>Royal Lion I  .............. 2 810</v>
      </c>
      <c r="L23" s="1"/>
      <c r="M23" s="1"/>
    </row>
    <row r="24" spans="1:15" ht="15.75" customHeight="1" x14ac:dyDescent="0.2">
      <c r="A24" s="12"/>
      <c r="B24" s="13"/>
      <c r="C24" s="14" t="s">
        <v>81</v>
      </c>
      <c r="D24" s="25"/>
      <c r="E24" s="31"/>
      <c r="F24" s="13"/>
      <c r="G24" s="31"/>
      <c r="H24" s="13"/>
      <c r="I24" s="13"/>
      <c r="J24" s="32"/>
      <c r="K24" s="33" t="str">
        <f>IF(COUNTIF(A25:A32,"x")&gt;=1,"--- lv.7 ---","")</f>
        <v/>
      </c>
      <c r="L24" s="1"/>
      <c r="M24" s="1"/>
    </row>
    <row r="25" spans="1:15" ht="15.75" customHeight="1" x14ac:dyDescent="0.2">
      <c r="A25" s="34" t="str">
        <f>IF(OR(GUARD_LV&lt;9,B25="x"),"x","")</f>
        <v/>
      </c>
      <c r="B25" s="17"/>
      <c r="C25" s="18" t="s">
        <v>82</v>
      </c>
      <c r="D25" s="35">
        <f t="shared" ref="D25:D32" si="14">IF(A25="x",(ROUNDDOWN(J25/SUM($J$7:$J$32)*$D$1,-2))/F25,)</f>
        <v>0</v>
      </c>
      <c r="E25" s="36">
        <v>5100</v>
      </c>
      <c r="F25" s="34">
        <v>1</v>
      </c>
      <c r="G25" s="37">
        <f t="shared" ref="G25:G32" si="15">D25*E25</f>
        <v>0</v>
      </c>
      <c r="H25" s="34">
        <f t="shared" ref="H25:H28" si="16">IF(A25="x",MAX(H$29:H$32)+6,)</f>
        <v>0</v>
      </c>
      <c r="I25" s="34">
        <f t="shared" ref="I25:I32" si="17">IF(A25="x",3.24,)</f>
        <v>0</v>
      </c>
      <c r="J25" s="34">
        <f t="shared" ref="J25:J32" si="18">I25+(H25/100)</f>
        <v>0</v>
      </c>
      <c r="K25" s="38" t="str">
        <f t="shared" ref="K25:K32" si="19">IF(A25="x",C25&amp;"  "&amp;REPT(".",26-LEN(C25))&amp;" "&amp;TEXT(ROUND(D25,0),"# ###"),"")</f>
        <v/>
      </c>
      <c r="L25" s="1"/>
      <c r="M25" s="1"/>
    </row>
    <row r="26" spans="1:15" ht="15.75" customHeight="1" x14ac:dyDescent="0.2">
      <c r="A26" s="34" t="str">
        <f>IF(OR(GUARD_LV&lt;9,B26="x"),"x","")</f>
        <v/>
      </c>
      <c r="B26" s="17"/>
      <c r="C26" s="18" t="s">
        <v>83</v>
      </c>
      <c r="D26" s="35">
        <f t="shared" si="14"/>
        <v>0</v>
      </c>
      <c r="E26" s="36">
        <v>5100</v>
      </c>
      <c r="F26" s="34">
        <v>1</v>
      </c>
      <c r="G26" s="37">
        <f t="shared" si="15"/>
        <v>0</v>
      </c>
      <c r="H26" s="34">
        <f t="shared" si="16"/>
        <v>0</v>
      </c>
      <c r="I26" s="34">
        <f t="shared" si="17"/>
        <v>0</v>
      </c>
      <c r="J26" s="34">
        <f t="shared" si="18"/>
        <v>0</v>
      </c>
      <c r="K26" s="38" t="str">
        <f t="shared" si="19"/>
        <v/>
      </c>
      <c r="L26" s="1"/>
      <c r="M26" s="1"/>
    </row>
    <row r="27" spans="1:15" ht="15.75" customHeight="1" x14ac:dyDescent="0.2">
      <c r="A27" s="34" t="str">
        <f>IF(OR(GUARD_LV&lt;9,B27="x"),"x","")</f>
        <v/>
      </c>
      <c r="B27" s="17"/>
      <c r="C27" s="18" t="s">
        <v>84</v>
      </c>
      <c r="D27" s="35">
        <f t="shared" si="14"/>
        <v>0</v>
      </c>
      <c r="E27" s="36">
        <v>10200</v>
      </c>
      <c r="F27" s="34">
        <v>2</v>
      </c>
      <c r="G27" s="37">
        <f t="shared" si="15"/>
        <v>0</v>
      </c>
      <c r="H27" s="34">
        <f t="shared" si="16"/>
        <v>0</v>
      </c>
      <c r="I27" s="34">
        <f t="shared" si="17"/>
        <v>0</v>
      </c>
      <c r="J27" s="34">
        <f t="shared" si="18"/>
        <v>0</v>
      </c>
      <c r="K27" s="38" t="str">
        <f t="shared" si="19"/>
        <v/>
      </c>
      <c r="L27" s="1"/>
      <c r="M27" s="1"/>
    </row>
    <row r="28" spans="1:15" ht="15.75" customHeight="1" x14ac:dyDescent="0.2">
      <c r="A28" s="34" t="str">
        <f>IF(OR(GUARD_LV&lt;9,B28="x"),"x","")</f>
        <v/>
      </c>
      <c r="B28" s="17"/>
      <c r="C28" s="18" t="s">
        <v>85</v>
      </c>
      <c r="D28" s="35">
        <f t="shared" si="14"/>
        <v>0</v>
      </c>
      <c r="E28" s="36">
        <v>102000</v>
      </c>
      <c r="F28" s="34">
        <v>20</v>
      </c>
      <c r="G28" s="37">
        <f t="shared" si="15"/>
        <v>0</v>
      </c>
      <c r="H28" s="34">
        <f t="shared" si="16"/>
        <v>0</v>
      </c>
      <c r="I28" s="34">
        <f t="shared" si="17"/>
        <v>0</v>
      </c>
      <c r="J28" s="34">
        <f t="shared" si="18"/>
        <v>0</v>
      </c>
      <c r="K28" s="38" t="str">
        <f t="shared" si="19"/>
        <v/>
      </c>
      <c r="L28" s="1"/>
      <c r="M28" s="1"/>
    </row>
    <row r="29" spans="1:15" ht="15.75" customHeight="1" x14ac:dyDescent="0.2">
      <c r="A29" s="34" t="str">
        <f>IF(OR(GUARD_LV&lt;9,SPEC_LV&lt;8,B29="x"),"x","")</f>
        <v/>
      </c>
      <c r="B29" s="17"/>
      <c r="C29" s="18" t="s">
        <v>86</v>
      </c>
      <c r="D29" s="35">
        <f t="shared" si="14"/>
        <v>0</v>
      </c>
      <c r="E29" s="36">
        <v>5100</v>
      </c>
      <c r="F29" s="34">
        <v>1</v>
      </c>
      <c r="G29" s="37">
        <f t="shared" si="15"/>
        <v>0</v>
      </c>
      <c r="H29" s="34"/>
      <c r="I29" s="34">
        <f t="shared" si="17"/>
        <v>0</v>
      </c>
      <c r="J29" s="34">
        <f t="shared" si="18"/>
        <v>0</v>
      </c>
      <c r="K29" s="38" t="str">
        <f t="shared" si="19"/>
        <v/>
      </c>
      <c r="L29" s="1"/>
      <c r="M29" s="1"/>
    </row>
    <row r="30" spans="1:15" ht="15.75" customHeight="1" x14ac:dyDescent="0.2">
      <c r="A30" s="34" t="str">
        <f>IF(OR(GUARD_LV&lt;9,SPEC_LV&lt;8,B30="x"),"x","")</f>
        <v/>
      </c>
      <c r="B30" s="17"/>
      <c r="C30" s="18" t="s">
        <v>87</v>
      </c>
      <c r="D30" s="35">
        <f t="shared" si="14"/>
        <v>0</v>
      </c>
      <c r="E30" s="36">
        <v>5100</v>
      </c>
      <c r="F30" s="34">
        <v>1</v>
      </c>
      <c r="G30" s="37">
        <f t="shared" si="15"/>
        <v>0</v>
      </c>
      <c r="H30" s="34"/>
      <c r="I30" s="34">
        <f t="shared" si="17"/>
        <v>0</v>
      </c>
      <c r="J30" s="34">
        <f t="shared" si="18"/>
        <v>0</v>
      </c>
      <c r="K30" s="38" t="str">
        <f t="shared" si="19"/>
        <v/>
      </c>
      <c r="L30" s="1"/>
      <c r="M30" s="1"/>
    </row>
    <row r="31" spans="1:15" ht="15.75" customHeight="1" x14ac:dyDescent="0.2">
      <c r="A31" s="34" t="str">
        <f>IF(OR(GUARD_LV&lt;9,SPEC_LV&lt;8,B31="x"),"x","")</f>
        <v/>
      </c>
      <c r="B31" s="17"/>
      <c r="C31" s="18" t="s">
        <v>88</v>
      </c>
      <c r="D31" s="35">
        <f t="shared" si="14"/>
        <v>0</v>
      </c>
      <c r="E31" s="36">
        <v>10200</v>
      </c>
      <c r="F31" s="34">
        <v>2</v>
      </c>
      <c r="G31" s="37">
        <f t="shared" si="15"/>
        <v>0</v>
      </c>
      <c r="H31" s="34"/>
      <c r="I31" s="34">
        <f t="shared" si="17"/>
        <v>0</v>
      </c>
      <c r="J31" s="34">
        <f t="shared" si="18"/>
        <v>0</v>
      </c>
      <c r="K31" s="38" t="str">
        <f t="shared" si="19"/>
        <v/>
      </c>
      <c r="L31" s="1"/>
      <c r="M31" s="1"/>
    </row>
    <row r="32" spans="1:15" ht="15.75" customHeight="1" x14ac:dyDescent="0.2">
      <c r="A32" s="34" t="str">
        <f>IF(OR(GUARD_LV&lt;9,SPEC_LV&lt;8,B32="x"),"x","")</f>
        <v/>
      </c>
      <c r="B32" s="17"/>
      <c r="C32" s="18" t="s">
        <v>89</v>
      </c>
      <c r="D32" s="35">
        <f t="shared" si="14"/>
        <v>0</v>
      </c>
      <c r="E32" s="36">
        <v>5100</v>
      </c>
      <c r="F32" s="34">
        <v>1</v>
      </c>
      <c r="G32" s="37">
        <f t="shared" si="15"/>
        <v>0</v>
      </c>
      <c r="H32" s="34"/>
      <c r="I32" s="34">
        <f t="shared" si="17"/>
        <v>0</v>
      </c>
      <c r="J32" s="34">
        <f t="shared" si="18"/>
        <v>0</v>
      </c>
      <c r="K32" s="38" t="str">
        <f t="shared" si="19"/>
        <v/>
      </c>
      <c r="L32" s="1"/>
      <c r="M32" s="1"/>
    </row>
    <row r="33" spans="1:13" ht="15.75" customHeight="1" x14ac:dyDescent="0.2">
      <c r="A33" s="12"/>
      <c r="B33" s="13"/>
      <c r="C33" s="14" t="s">
        <v>49</v>
      </c>
      <c r="D33" s="25"/>
      <c r="E33" s="31"/>
      <c r="F33" s="13"/>
      <c r="G33" s="31"/>
      <c r="H33" s="13"/>
      <c r="I33" s="13"/>
      <c r="J33" s="32"/>
      <c r="K33" s="33" t="s">
        <v>90</v>
      </c>
      <c r="L33" s="1"/>
      <c r="M33" s="1"/>
    </row>
    <row r="34" spans="1:13" ht="15.75" customHeight="1" x14ac:dyDescent="0.2">
      <c r="A34" s="34" t="s">
        <v>30</v>
      </c>
      <c r="B34" s="17" t="s">
        <v>30</v>
      </c>
      <c r="C34" s="18" t="s">
        <v>91</v>
      </c>
      <c r="D34" s="35" t="e">
        <f t="shared" ref="D34:D36" ca="1" si="20">IF(A34="x", ROUNDDOWN(MINIFS($G$7:$G$32,$G$7:$G$32,"&gt;0")/E34,-1),)</f>
        <v>#NAME?</v>
      </c>
      <c r="E34" s="36">
        <v>3630000</v>
      </c>
      <c r="F34" s="34" t="s">
        <v>14</v>
      </c>
      <c r="G34" s="37" t="e">
        <f t="shared" ref="G34:G36" ca="1" si="21">D34*E34</f>
        <v>#NAME?</v>
      </c>
      <c r="H34" s="34">
        <v>0</v>
      </c>
      <c r="I34" s="34" t="s">
        <v>14</v>
      </c>
      <c r="J34" s="34" t="s">
        <v>14</v>
      </c>
      <c r="K34" s="38" t="e">
        <f t="shared" ref="K34:K36" ca="1" si="22">IF(A34="x",C34&amp;"  "&amp;REPT(".",26-LEN(C34))&amp;" "&amp;TEXT(ROUND(D34,0),"# ###")&amp;" each","")</f>
        <v>#NAME?</v>
      </c>
      <c r="L34" s="1"/>
      <c r="M34" s="1"/>
    </row>
    <row r="35" spans="1:13" ht="15.75" customHeight="1" x14ac:dyDescent="0.2">
      <c r="A35" s="34" t="s">
        <v>30</v>
      </c>
      <c r="B35" s="17" t="s">
        <v>30</v>
      </c>
      <c r="C35" s="18" t="s">
        <v>92</v>
      </c>
      <c r="D35" s="35" t="e">
        <f t="shared" ca="1" si="20"/>
        <v>#NAME?</v>
      </c>
      <c r="E35" s="36">
        <v>2010000</v>
      </c>
      <c r="F35" s="34" t="s">
        <v>14</v>
      </c>
      <c r="G35" s="37" t="e">
        <f t="shared" ca="1" si="21"/>
        <v>#NAME?</v>
      </c>
      <c r="H35" s="34">
        <v>0</v>
      </c>
      <c r="I35" s="34" t="s">
        <v>14</v>
      </c>
      <c r="J35" s="34" t="s">
        <v>14</v>
      </c>
      <c r="K35" s="38" t="e">
        <f t="shared" ca="1" si="22"/>
        <v>#NAME?</v>
      </c>
      <c r="L35" s="1"/>
      <c r="M35" s="1"/>
    </row>
    <row r="36" spans="1:13" ht="15.75" customHeight="1" x14ac:dyDescent="0.2">
      <c r="A36" s="34" t="str">
        <f>IF(OR(GUARD_LV&lt;9,SPEC_LV&lt;8,B36="x"),"x","")</f>
        <v>x</v>
      </c>
      <c r="B36" s="17" t="s">
        <v>30</v>
      </c>
      <c r="C36" s="18" t="s">
        <v>93</v>
      </c>
      <c r="D36" s="35" t="e">
        <f t="shared" ca="1" si="20"/>
        <v>#NAME?</v>
      </c>
      <c r="E36" s="36">
        <v>930000</v>
      </c>
      <c r="F36" s="34" t="s">
        <v>14</v>
      </c>
      <c r="G36" s="37" t="e">
        <f t="shared" ca="1" si="21"/>
        <v>#NAME?</v>
      </c>
      <c r="H36" s="34">
        <v>0</v>
      </c>
      <c r="I36" s="34" t="s">
        <v>14</v>
      </c>
      <c r="J36" s="34" t="s">
        <v>14</v>
      </c>
      <c r="K36" s="38" t="e">
        <f t="shared" ca="1" si="22"/>
        <v>#NAME?</v>
      </c>
      <c r="L36" s="1"/>
      <c r="M36" s="1"/>
    </row>
    <row r="37" spans="1:13" ht="15.75" customHeight="1" x14ac:dyDescent="0.2">
      <c r="A37" s="12"/>
      <c r="B37" s="13"/>
      <c r="C37" s="14" t="s">
        <v>50</v>
      </c>
      <c r="D37" s="25"/>
      <c r="E37" s="31"/>
      <c r="F37" s="13"/>
      <c r="G37" s="31"/>
      <c r="H37" s="13"/>
      <c r="I37" s="13"/>
      <c r="J37" s="32"/>
      <c r="K37" s="33" t="s">
        <v>94</v>
      </c>
      <c r="L37" s="1"/>
      <c r="M37" s="1"/>
    </row>
    <row r="38" spans="1:13" ht="15.75" customHeight="1" x14ac:dyDescent="0.2">
      <c r="A38" s="34" t="s">
        <v>30</v>
      </c>
      <c r="B38" s="17"/>
      <c r="C38" s="18" t="s">
        <v>51</v>
      </c>
      <c r="D38" s="35" t="e">
        <f t="shared" ref="D38:D39" ca="1" si="23">ROUNDDOWN(MINIFS($G$7:$G$32,$G$7:$G$32,"&gt;0")/E38,-2)</f>
        <v>#NAME?</v>
      </c>
      <c r="E38" s="36">
        <v>33000</v>
      </c>
      <c r="F38" s="34" t="s">
        <v>14</v>
      </c>
      <c r="G38" s="37" t="e">
        <f t="shared" ref="G38:G41" ca="1" si="24">D38*E38</f>
        <v>#NAME?</v>
      </c>
      <c r="H38" s="39"/>
      <c r="I38" s="34" t="s">
        <v>14</v>
      </c>
      <c r="J38" s="34" t="s">
        <v>14</v>
      </c>
      <c r="K38" s="38" t="e">
        <f ca="1">IF(A38="x",C38&amp;"  "&amp;REPT(".",26-LEN(C38))&amp;" "&amp;TEXT(ROUND(D38,0),"# ###")&amp;" each","")</f>
        <v>#NAME?</v>
      </c>
      <c r="L38" s="1"/>
      <c r="M38" s="1"/>
    </row>
    <row r="39" spans="1:13" ht="15.75" customHeight="1" x14ac:dyDescent="0.2">
      <c r="A39" s="34" t="s">
        <v>30</v>
      </c>
      <c r="B39" s="40" t="s">
        <v>30</v>
      </c>
      <c r="C39" s="18" t="s">
        <v>52</v>
      </c>
      <c r="D39" s="35" t="e">
        <f t="shared" ca="1" si="23"/>
        <v>#NAME?</v>
      </c>
      <c r="E39" s="36">
        <v>75000</v>
      </c>
      <c r="F39" s="34" t="s">
        <v>14</v>
      </c>
      <c r="G39" s="37" t="e">
        <f t="shared" ca="1" si="24"/>
        <v>#NAME?</v>
      </c>
      <c r="H39" s="39"/>
      <c r="I39" s="34" t="s">
        <v>14</v>
      </c>
      <c r="J39" s="34" t="s">
        <v>14</v>
      </c>
      <c r="K39" s="38" t="e">
        <f t="shared" ref="K39:K40" ca="1" si="25">IF(A39="x",C39&amp;"  "&amp;REPT(".",26-LEN(C39))&amp;" "&amp;TEXT(ROUND(D39,0),"# ###"),"")</f>
        <v>#NAME?</v>
      </c>
      <c r="L39" s="1"/>
      <c r="M39" s="1"/>
    </row>
    <row r="40" spans="1:13" ht="15.75" customHeight="1" x14ac:dyDescent="0.2">
      <c r="A40" s="34" t="s">
        <v>30</v>
      </c>
      <c r="B40" s="17"/>
      <c r="C40" s="18" t="s">
        <v>95</v>
      </c>
      <c r="D40" s="35" t="e">
        <f t="shared" ref="D40:D41" ca="1" si="26">ROUNDDOWN(MINIFS($G$7:$G$32,$G$7:$G$32,"&gt;0")/E40,-1)</f>
        <v>#NAME?</v>
      </c>
      <c r="E40" s="36">
        <v>2070000</v>
      </c>
      <c r="F40" s="34" t="s">
        <v>14</v>
      </c>
      <c r="G40" s="37" t="e">
        <f t="shared" ca="1" si="24"/>
        <v>#NAME?</v>
      </c>
      <c r="H40" s="39"/>
      <c r="I40" s="34" t="s">
        <v>14</v>
      </c>
      <c r="J40" s="34" t="s">
        <v>14</v>
      </c>
      <c r="K40" s="38" t="e">
        <f t="shared" ca="1" si="25"/>
        <v>#NAME?</v>
      </c>
      <c r="L40" s="1"/>
      <c r="M40" s="1"/>
    </row>
    <row r="41" spans="1:13" ht="15.75" customHeight="1" x14ac:dyDescent="0.2">
      <c r="A41" s="34" t="s">
        <v>30</v>
      </c>
      <c r="B41" s="17"/>
      <c r="C41" s="18" t="s">
        <v>96</v>
      </c>
      <c r="D41" s="35" t="e">
        <f t="shared" ca="1" si="26"/>
        <v>#NAME?</v>
      </c>
      <c r="E41" s="36">
        <v>1410000</v>
      </c>
      <c r="F41" s="34" t="s">
        <v>14</v>
      </c>
      <c r="G41" s="37" t="e">
        <f t="shared" ca="1" si="24"/>
        <v>#NAME?</v>
      </c>
      <c r="H41" s="39"/>
      <c r="I41" s="34" t="s">
        <v>14</v>
      </c>
      <c r="J41" s="34" t="s">
        <v>14</v>
      </c>
      <c r="K41" s="41" t="e">
        <f ca="1">IF(A41="x",C41&amp;"  "&amp;REPT(".",26-LEN(C41))&amp;" "&amp;TEXT(ROUND(D41,0),"# ###")&amp;" each","")</f>
        <v>#NAME?</v>
      </c>
      <c r="L41" s="1"/>
      <c r="M41" s="1"/>
    </row>
  </sheetData>
  <mergeCells count="1">
    <mergeCell ref="K3:K4"/>
  </mergeCells>
  <dataValidations count="1">
    <dataValidation type="decimal" allowBlank="1" showDropDown="1" showErrorMessage="1" sqref="D2:D4">
      <formula1>7</formula1>
      <formula2>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41"/>
  <sheetViews>
    <sheetView workbookViewId="0"/>
  </sheetViews>
  <sheetFormatPr defaultColWidth="12.7109375" defaultRowHeight="15.75" customHeight="1" x14ac:dyDescent="0.2"/>
  <cols>
    <col min="1" max="2" width="5.140625" customWidth="1"/>
    <col min="3" max="3" width="16.140625" customWidth="1"/>
    <col min="4" max="4" width="8.7109375" customWidth="1"/>
    <col min="5" max="5" width="7.42578125" hidden="1" customWidth="1"/>
    <col min="6" max="6" width="4.85546875" hidden="1" customWidth="1"/>
    <col min="7" max="7" width="10.28515625" hidden="1" customWidth="1"/>
    <col min="8" max="8" width="4.28515625" hidden="1" customWidth="1"/>
    <col min="9" max="9" width="5" hidden="1" customWidth="1"/>
    <col min="10" max="10" width="4.7109375" hidden="1" customWidth="1"/>
    <col min="11" max="11" width="31.140625" customWidth="1"/>
    <col min="29" max="29" width="4" customWidth="1"/>
  </cols>
  <sheetData>
    <row r="1" spans="1:32" ht="15.75" customHeight="1" x14ac:dyDescent="0.2">
      <c r="A1" s="1"/>
      <c r="B1" s="1"/>
      <c r="C1" s="2" t="s">
        <v>53</v>
      </c>
      <c r="D1" s="42">
        <v>722361</v>
      </c>
      <c r="K1" s="11" t="s">
        <v>97</v>
      </c>
      <c r="L1" s="1"/>
      <c r="M1" s="1"/>
    </row>
    <row r="2" spans="1:32" ht="15.75" customHeight="1" x14ac:dyDescent="0.2">
      <c r="A2" s="1"/>
      <c r="B2" s="1"/>
      <c r="C2" s="2" t="s">
        <v>13</v>
      </c>
      <c r="D2" s="43">
        <v>9</v>
      </c>
      <c r="L2" s="1"/>
      <c r="M2" s="2" t="s">
        <v>17</v>
      </c>
    </row>
    <row r="3" spans="1:32" ht="15.75" customHeight="1" x14ac:dyDescent="0.2">
      <c r="A3" s="1"/>
      <c r="B3" s="1"/>
      <c r="C3" s="2" t="s">
        <v>15</v>
      </c>
      <c r="D3" s="43">
        <v>8</v>
      </c>
      <c r="K3" s="53" t="s">
        <v>98</v>
      </c>
      <c r="L3" s="1"/>
      <c r="M3" s="1" t="s">
        <v>55</v>
      </c>
    </row>
    <row r="4" spans="1:32" ht="15.75" customHeight="1" x14ac:dyDescent="0.2">
      <c r="A4" s="1"/>
      <c r="B4" s="1"/>
      <c r="C4" s="2" t="s">
        <v>18</v>
      </c>
      <c r="D4" s="43">
        <v>9</v>
      </c>
      <c r="K4" s="51"/>
      <c r="L4" s="1"/>
      <c r="M4" s="11" t="s">
        <v>56</v>
      </c>
      <c r="X4" s="11" t="s">
        <v>99</v>
      </c>
      <c r="Y4" s="11" t="s">
        <v>100</v>
      </c>
      <c r="AD4" s="11" t="s">
        <v>100</v>
      </c>
    </row>
    <row r="5" spans="1:32" ht="15.75" customHeight="1" x14ac:dyDescent="0.2">
      <c r="A5" s="29" t="s">
        <v>101</v>
      </c>
      <c r="B5" s="29" t="s">
        <v>21</v>
      </c>
      <c r="C5" s="30" t="s">
        <v>22</v>
      </c>
      <c r="D5" s="29" t="s">
        <v>23</v>
      </c>
      <c r="E5" s="29" t="s">
        <v>57</v>
      </c>
      <c r="F5" s="29" t="s">
        <v>24</v>
      </c>
      <c r="G5" s="30" t="s">
        <v>58</v>
      </c>
      <c r="H5" s="30" t="s">
        <v>25</v>
      </c>
      <c r="I5" s="30" t="s">
        <v>26</v>
      </c>
      <c r="J5" s="30" t="s">
        <v>27</v>
      </c>
      <c r="K5" s="29" t="str">
        <f>"Solo CP - "&amp;"g"&amp;Adamastor!GUARD_LV&amp;"-s"&amp;Adamastor!SPEC_LV&amp;"-m"&amp;Adamastor!MONST_LV&amp;" - "&amp;TEXT(ROUND(D1/1000,0)&amp;"k","# ###")&amp;" leadership"</f>
        <v>Solo CP - g9-s8-m9 - 722k leadership</v>
      </c>
      <c r="L5" s="1"/>
      <c r="M5" s="1" t="s">
        <v>102</v>
      </c>
      <c r="V5" s="11">
        <v>1</v>
      </c>
      <c r="W5" s="11" t="s">
        <v>103</v>
      </c>
      <c r="X5" s="44">
        <v>0.1</v>
      </c>
      <c r="Y5" s="11">
        <v>20</v>
      </c>
      <c r="AA5" s="11" t="s">
        <v>104</v>
      </c>
      <c r="AB5" s="11" t="s">
        <v>105</v>
      </c>
      <c r="AD5" s="11">
        <v>10</v>
      </c>
      <c r="AE5" s="11" t="s">
        <v>104</v>
      </c>
      <c r="AF5" s="11" t="s">
        <v>105</v>
      </c>
    </row>
    <row r="6" spans="1:32" ht="15.75" customHeight="1" x14ac:dyDescent="0.2">
      <c r="A6" s="12"/>
      <c r="B6" s="13"/>
      <c r="C6" s="14" t="s">
        <v>59</v>
      </c>
      <c r="D6" s="13"/>
      <c r="E6" s="31"/>
      <c r="F6" s="13"/>
      <c r="G6" s="31"/>
      <c r="H6" s="13"/>
      <c r="I6" s="13"/>
      <c r="J6" s="32"/>
      <c r="K6" s="33" t="str">
        <f>IF(COUNTIF(A7:A14,"x")&gt;=1,"--- lv.9 ---","")</f>
        <v>--- lv.9 ---</v>
      </c>
      <c r="L6" s="1"/>
    </row>
    <row r="7" spans="1:32" ht="15.75" customHeight="1" x14ac:dyDescent="0.2">
      <c r="A7" s="34" t="str">
        <f>IF(OR(D2&gt;=9,B7="x"),"x","")</f>
        <v>x</v>
      </c>
      <c r="B7" s="17"/>
      <c r="C7" s="18" t="s">
        <v>60</v>
      </c>
      <c r="D7" s="35">
        <f t="shared" ref="D7:D14" si="0">IF(A7="x",(ROUNDDOWN(J7/SUM($J$7:$J$32)*$D$1,-2))/F7,)</f>
        <v>19100</v>
      </c>
      <c r="E7" s="36">
        <v>16530</v>
      </c>
      <c r="F7" s="34">
        <v>1</v>
      </c>
      <c r="G7" s="37">
        <f t="shared" ref="G7:G14" si="1">D7*E7</f>
        <v>315723000</v>
      </c>
      <c r="H7" s="34">
        <f t="shared" ref="H7:H10" si="2">IF(A7="x",MAX(H$11:H$32)+6,0)</f>
        <v>24</v>
      </c>
      <c r="I7" s="34">
        <f t="shared" ref="I7:I14" si="3">IF(A7="x",1,)</f>
        <v>1</v>
      </c>
      <c r="J7" s="34">
        <f t="shared" ref="J7:J14" si="4">I7+(H7/100)</f>
        <v>1.24</v>
      </c>
      <c r="K7" s="38" t="str">
        <f t="shared" ref="K7:K14" si="5">IF(A7="x",C7&amp;"  "&amp;REPT(".",26-LEN(C7))&amp;" "&amp;TEXT(ROUND(D7,0),"# ###"),"")</f>
        <v>Punisher II  ............... 19 100</v>
      </c>
      <c r="L7" s="1"/>
      <c r="M7" s="2" t="s">
        <v>33</v>
      </c>
      <c r="V7" s="35">
        <f t="shared" ref="V7:V10" si="6">D7*V$5</f>
        <v>19100</v>
      </c>
      <c r="W7" s="45">
        <v>45600</v>
      </c>
      <c r="X7" s="11">
        <f t="shared" ref="X7:X10" si="7">TRUNC(V7*0.1,0)</f>
        <v>1910</v>
      </c>
      <c r="Y7" s="45">
        <f t="shared" ref="Y7:Y10" si="8">V7+X7*Y$5</f>
        <v>57300</v>
      </c>
      <c r="Z7" s="45">
        <f t="shared" ref="Z7:Z10" si="9">IF(Y7&gt;W7,Y7-W7,0)</f>
        <v>11700</v>
      </c>
      <c r="AA7" s="11">
        <v>57300</v>
      </c>
      <c r="AB7" s="45">
        <f t="shared" ref="AB7:AB10" si="10">Y7-AA7</f>
        <v>0</v>
      </c>
      <c r="AD7" s="11">
        <f t="shared" ref="AD7:AD10" si="11">V7*AD$5</f>
        <v>191000</v>
      </c>
      <c r="AE7" s="11">
        <v>52930</v>
      </c>
      <c r="AF7" s="11">
        <f t="shared" ref="AF7:AF32" si="12">AE7-AD7</f>
        <v>-138070</v>
      </c>
    </row>
    <row r="8" spans="1:32" ht="15.75" customHeight="1" x14ac:dyDescent="0.2">
      <c r="A8" s="34" t="str">
        <f>IF(OR(Adamastor!GUARD_LV&gt;=9,B8="x"),"x","")</f>
        <v>x</v>
      </c>
      <c r="B8" s="17"/>
      <c r="C8" s="18" t="s">
        <v>61</v>
      </c>
      <c r="D8" s="35">
        <f t="shared" si="0"/>
        <v>19100</v>
      </c>
      <c r="E8" s="36">
        <v>16530</v>
      </c>
      <c r="F8" s="34">
        <v>1</v>
      </c>
      <c r="G8" s="37">
        <f t="shared" si="1"/>
        <v>315723000</v>
      </c>
      <c r="H8" s="34">
        <f t="shared" si="2"/>
        <v>24</v>
      </c>
      <c r="I8" s="34">
        <f t="shared" si="3"/>
        <v>1</v>
      </c>
      <c r="J8" s="34">
        <f t="shared" si="4"/>
        <v>1.24</v>
      </c>
      <c r="K8" s="38" t="str">
        <f t="shared" si="5"/>
        <v>Purifyer II  ............... 19 100</v>
      </c>
      <c r="L8" s="1"/>
      <c r="M8" s="21" t="s">
        <v>35</v>
      </c>
      <c r="V8" s="35">
        <f t="shared" si="6"/>
        <v>19100</v>
      </c>
      <c r="W8" s="45">
        <v>45600</v>
      </c>
      <c r="X8" s="11">
        <f t="shared" si="7"/>
        <v>1910</v>
      </c>
      <c r="Y8" s="45">
        <f t="shared" si="8"/>
        <v>57300</v>
      </c>
      <c r="Z8" s="45">
        <f t="shared" si="9"/>
        <v>11700</v>
      </c>
      <c r="AA8" s="11">
        <v>57300</v>
      </c>
      <c r="AB8" s="45">
        <f t="shared" si="10"/>
        <v>0</v>
      </c>
      <c r="AD8" s="11">
        <f t="shared" si="11"/>
        <v>191000</v>
      </c>
      <c r="AE8" s="11">
        <f t="shared" ref="AE8:AE10" si="13">AA8</f>
        <v>57300</v>
      </c>
      <c r="AF8" s="11">
        <f t="shared" si="12"/>
        <v>-133700</v>
      </c>
    </row>
    <row r="9" spans="1:32" ht="15.75" customHeight="1" x14ac:dyDescent="0.2">
      <c r="A9" s="34" t="str">
        <f>IF(OR(Adamastor!GUARD_LV&gt;=9,B9="x"),"x","")</f>
        <v>x</v>
      </c>
      <c r="B9" s="17"/>
      <c r="C9" s="18" t="s">
        <v>62</v>
      </c>
      <c r="D9" s="35">
        <f t="shared" si="0"/>
        <v>9550</v>
      </c>
      <c r="E9" s="36">
        <v>33060</v>
      </c>
      <c r="F9" s="34">
        <v>2</v>
      </c>
      <c r="G9" s="37">
        <f t="shared" si="1"/>
        <v>315723000</v>
      </c>
      <c r="H9" s="34">
        <f t="shared" si="2"/>
        <v>24</v>
      </c>
      <c r="I9" s="34">
        <f t="shared" si="3"/>
        <v>1</v>
      </c>
      <c r="J9" s="34">
        <f t="shared" si="4"/>
        <v>1.24</v>
      </c>
      <c r="K9" s="38" t="str">
        <f t="shared" si="5"/>
        <v>Smiter II  ................. 9 550</v>
      </c>
      <c r="L9" s="1"/>
      <c r="M9" s="21" t="s">
        <v>63</v>
      </c>
      <c r="V9" s="35">
        <f t="shared" si="6"/>
        <v>9550</v>
      </c>
      <c r="W9" s="45">
        <f>22800</f>
        <v>22800</v>
      </c>
      <c r="X9" s="11">
        <f t="shared" si="7"/>
        <v>955</v>
      </c>
      <c r="Y9" s="45">
        <f t="shared" si="8"/>
        <v>28650</v>
      </c>
      <c r="Z9" s="45">
        <f t="shared" si="9"/>
        <v>5850</v>
      </c>
      <c r="AA9" s="11">
        <v>28650</v>
      </c>
      <c r="AB9" s="45">
        <f t="shared" si="10"/>
        <v>0</v>
      </c>
      <c r="AD9" s="11">
        <f t="shared" si="11"/>
        <v>95500</v>
      </c>
      <c r="AE9" s="11">
        <f t="shared" si="13"/>
        <v>28650</v>
      </c>
      <c r="AF9" s="11">
        <f t="shared" si="12"/>
        <v>-66850</v>
      </c>
    </row>
    <row r="10" spans="1:32" ht="15.75" customHeight="1" x14ac:dyDescent="0.2">
      <c r="A10" s="34" t="str">
        <f>IF(OR(Adamastor!GUARD_LV&gt;=9,B10="x"),"x","")</f>
        <v>x</v>
      </c>
      <c r="B10" s="17"/>
      <c r="C10" s="18" t="s">
        <v>64</v>
      </c>
      <c r="D10" s="35">
        <f t="shared" si="0"/>
        <v>955</v>
      </c>
      <c r="E10" s="36">
        <v>330600</v>
      </c>
      <c r="F10" s="34">
        <v>20</v>
      </c>
      <c r="G10" s="37">
        <f t="shared" si="1"/>
        <v>315723000</v>
      </c>
      <c r="H10" s="34">
        <f t="shared" si="2"/>
        <v>24</v>
      </c>
      <c r="I10" s="34">
        <f t="shared" si="3"/>
        <v>1</v>
      </c>
      <c r="J10" s="34">
        <f t="shared" si="4"/>
        <v>1.24</v>
      </c>
      <c r="K10" s="38" t="str">
        <f t="shared" si="5"/>
        <v>Corax II  .................. 955</v>
      </c>
      <c r="L10" s="1"/>
      <c r="M10" s="21" t="s">
        <v>65</v>
      </c>
      <c r="V10" s="35">
        <f t="shared" si="6"/>
        <v>955</v>
      </c>
      <c r="W10" s="45">
        <v>2280</v>
      </c>
      <c r="X10" s="11">
        <f t="shared" si="7"/>
        <v>95</v>
      </c>
      <c r="Y10" s="45">
        <f t="shared" si="8"/>
        <v>2855</v>
      </c>
      <c r="Z10" s="45">
        <f t="shared" si="9"/>
        <v>575</v>
      </c>
      <c r="AA10" s="11">
        <v>5326</v>
      </c>
      <c r="AB10" s="45">
        <f t="shared" si="10"/>
        <v>-2471</v>
      </c>
      <c r="AD10" s="11">
        <f t="shared" si="11"/>
        <v>9550</v>
      </c>
      <c r="AE10" s="11">
        <f t="shared" si="13"/>
        <v>5326</v>
      </c>
      <c r="AF10" s="11">
        <f t="shared" si="12"/>
        <v>-4224</v>
      </c>
    </row>
    <row r="11" spans="1:32" ht="15.75" customHeight="1" x14ac:dyDescent="0.2">
      <c r="A11" s="34" t="str">
        <f>IF(OR(Adamastor!SPEC_LV&gt;=9,B11="x"),"x","")</f>
        <v/>
      </c>
      <c r="B11" s="17"/>
      <c r="C11" s="18" t="s">
        <v>66</v>
      </c>
      <c r="D11" s="35">
        <f t="shared" si="0"/>
        <v>0</v>
      </c>
      <c r="E11" s="36">
        <v>16530</v>
      </c>
      <c r="F11" s="34">
        <v>1</v>
      </c>
      <c r="G11" s="37">
        <f t="shared" si="1"/>
        <v>0</v>
      </c>
      <c r="H11" s="34">
        <f t="shared" ref="H11:H14" si="14">IF(A11="x",MAX(H$16:H$32)+6,0)</f>
        <v>0</v>
      </c>
      <c r="I11" s="34">
        <f t="shared" si="3"/>
        <v>0</v>
      </c>
      <c r="J11" s="34">
        <f t="shared" si="4"/>
        <v>0</v>
      </c>
      <c r="K11" s="38" t="str">
        <f t="shared" si="5"/>
        <v/>
      </c>
      <c r="L11" s="6"/>
      <c r="M11" s="21" t="s">
        <v>67</v>
      </c>
      <c r="AF11" s="11">
        <f t="shared" si="12"/>
        <v>0</v>
      </c>
    </row>
    <row r="12" spans="1:32" ht="15.75" customHeight="1" x14ac:dyDescent="0.2">
      <c r="A12" s="34" t="str">
        <f>IF(OR(Adamastor!SPEC_LV&gt;=9,B12="x"),"x","")</f>
        <v/>
      </c>
      <c r="B12" s="17"/>
      <c r="C12" s="18" t="s">
        <v>68</v>
      </c>
      <c r="D12" s="35">
        <f t="shared" si="0"/>
        <v>0</v>
      </c>
      <c r="E12" s="36">
        <v>16530</v>
      </c>
      <c r="F12" s="34">
        <v>1</v>
      </c>
      <c r="G12" s="37">
        <f t="shared" si="1"/>
        <v>0</v>
      </c>
      <c r="H12" s="34">
        <f t="shared" si="14"/>
        <v>0</v>
      </c>
      <c r="I12" s="34">
        <f t="shared" si="3"/>
        <v>0</v>
      </c>
      <c r="J12" s="34">
        <f t="shared" si="4"/>
        <v>0</v>
      </c>
      <c r="K12" s="38" t="str">
        <f t="shared" si="5"/>
        <v/>
      </c>
      <c r="L12" s="1"/>
      <c r="M12" s="21" t="s">
        <v>69</v>
      </c>
      <c r="AF12" s="11">
        <f t="shared" si="12"/>
        <v>0</v>
      </c>
    </row>
    <row r="13" spans="1:32" ht="15.75" customHeight="1" x14ac:dyDescent="0.2">
      <c r="A13" s="34" t="str">
        <f>IF(OR(Adamastor!SPEC_LV&gt;=9,B13="x"),"x","")</f>
        <v/>
      </c>
      <c r="B13" s="17"/>
      <c r="C13" s="18" t="s">
        <v>70</v>
      </c>
      <c r="D13" s="35">
        <f t="shared" si="0"/>
        <v>0</v>
      </c>
      <c r="E13" s="36">
        <v>33060</v>
      </c>
      <c r="F13" s="34">
        <v>2</v>
      </c>
      <c r="G13" s="37">
        <f t="shared" si="1"/>
        <v>0</v>
      </c>
      <c r="H13" s="34">
        <f t="shared" si="14"/>
        <v>0</v>
      </c>
      <c r="I13" s="34">
        <f t="shared" si="3"/>
        <v>0</v>
      </c>
      <c r="J13" s="34">
        <f t="shared" si="4"/>
        <v>0</v>
      </c>
      <c r="K13" s="38" t="str">
        <f t="shared" si="5"/>
        <v/>
      </c>
      <c r="L13" s="1"/>
      <c r="M13" s="1"/>
      <c r="AF13" s="11">
        <f t="shared" si="12"/>
        <v>0</v>
      </c>
    </row>
    <row r="14" spans="1:32" ht="15.75" customHeight="1" x14ac:dyDescent="0.2">
      <c r="A14" s="34" t="str">
        <f>IF(OR(Adamastor!SPEC_LV&gt;=9,B14="x"),"x","")</f>
        <v/>
      </c>
      <c r="B14" s="17"/>
      <c r="C14" s="18" t="s">
        <v>71</v>
      </c>
      <c r="D14" s="35">
        <f t="shared" si="0"/>
        <v>0</v>
      </c>
      <c r="E14" s="36">
        <v>330600</v>
      </c>
      <c r="F14" s="34">
        <v>20</v>
      </c>
      <c r="G14" s="37">
        <f t="shared" si="1"/>
        <v>0</v>
      </c>
      <c r="H14" s="34">
        <f t="shared" si="14"/>
        <v>0</v>
      </c>
      <c r="I14" s="34">
        <f t="shared" si="3"/>
        <v>0</v>
      </c>
      <c r="J14" s="34">
        <f t="shared" si="4"/>
        <v>0</v>
      </c>
      <c r="K14" s="38" t="str">
        <f t="shared" si="5"/>
        <v/>
      </c>
      <c r="L14" s="1"/>
      <c r="M14" s="26" t="s">
        <v>47</v>
      </c>
      <c r="AF14" s="11">
        <f t="shared" si="12"/>
        <v>0</v>
      </c>
    </row>
    <row r="15" spans="1:32" ht="15.75" customHeight="1" x14ac:dyDescent="0.2">
      <c r="A15" s="12"/>
      <c r="B15" s="13"/>
      <c r="C15" s="14" t="s">
        <v>72</v>
      </c>
      <c r="D15" s="25"/>
      <c r="E15" s="31"/>
      <c r="F15" s="13"/>
      <c r="G15" s="31"/>
      <c r="H15" s="13"/>
      <c r="I15" s="13"/>
      <c r="J15" s="32"/>
      <c r="K15" s="33" t="str">
        <f>IF(COUNTIF(A16:A23,"x")&gt;=1,"--- lv.8 ---","")</f>
        <v>--- lv.8 ---</v>
      </c>
      <c r="L15" s="1"/>
      <c r="M15" s="1" t="s">
        <v>106</v>
      </c>
      <c r="V15" s="25"/>
      <c r="AF15" s="11">
        <f t="shared" si="12"/>
        <v>0</v>
      </c>
    </row>
    <row r="16" spans="1:32" ht="15.75" customHeight="1" x14ac:dyDescent="0.2">
      <c r="A16" s="34" t="str">
        <f>IF(OR(Adamastor!GUARD_LV&gt;=8,B16="x"),"x","")</f>
        <v>x</v>
      </c>
      <c r="B16" s="17" t="s">
        <v>30</v>
      </c>
      <c r="C16" s="18" t="s">
        <v>73</v>
      </c>
      <c r="D16" s="35">
        <f t="shared" ref="D16:D23" si="15">IF(A16="x",(ROUNDDOWN(J16/SUM($J$7:$J$32)*$D$1,-2))/F16,)</f>
        <v>30600</v>
      </c>
      <c r="E16" s="36">
        <v>9180</v>
      </c>
      <c r="F16" s="34">
        <v>1</v>
      </c>
      <c r="G16" s="37">
        <f t="shared" ref="G16:G23" si="16">D16*E16</f>
        <v>280908000</v>
      </c>
      <c r="H16" s="34">
        <f t="shared" ref="H16:H19" si="17">IF(A16="x",MAX(H$20:H$32)+6,0)</f>
        <v>18</v>
      </c>
      <c r="I16" s="34">
        <f t="shared" ref="I16:I23" si="18">IF(A16="x",1.8,)</f>
        <v>1.8</v>
      </c>
      <c r="J16" s="34">
        <f t="shared" ref="J16:J23" si="19">I16+(H16/100)</f>
        <v>1.98</v>
      </c>
      <c r="K16" s="38" t="str">
        <f t="shared" ref="K16:K23" si="20">IF(A16="x",C16&amp;"  "&amp;REPT(".",26-LEN(C16))&amp;" "&amp;TEXT(ROUND(D16,0),"# ###"),"")</f>
        <v>Punisher I  ................ 30 600</v>
      </c>
      <c r="L16" s="1"/>
      <c r="V16" s="35">
        <f t="shared" ref="V16:V23" si="21">D16*V$5</f>
        <v>30600</v>
      </c>
      <c r="W16" s="45">
        <v>45600</v>
      </c>
      <c r="X16" s="11">
        <f t="shared" ref="X16:X19" si="22">TRUNC(V16*0.1,0)</f>
        <v>3060</v>
      </c>
      <c r="Y16" s="45">
        <f t="shared" ref="Y16:Y23" si="23">V16+X16*Y$5</f>
        <v>91800</v>
      </c>
      <c r="Z16" s="45">
        <f t="shared" ref="Z16:Z23" si="24">IF(Y16&gt;W16,Y16-W16,0)</f>
        <v>46200</v>
      </c>
      <c r="AA16" s="11">
        <v>91800</v>
      </c>
      <c r="AB16" s="45">
        <f t="shared" ref="AB16:AB23" si="25">Y16-AA16</f>
        <v>0</v>
      </c>
      <c r="AD16" s="11">
        <f t="shared" ref="AD16:AD19" si="26">V16*AD$5</f>
        <v>306000</v>
      </c>
      <c r="AE16" s="11">
        <f t="shared" ref="AE16:AE23" si="27">AA16</f>
        <v>91800</v>
      </c>
      <c r="AF16" s="11">
        <f t="shared" si="12"/>
        <v>-214200</v>
      </c>
    </row>
    <row r="17" spans="1:32" ht="15.75" customHeight="1" x14ac:dyDescent="0.2">
      <c r="A17" s="34" t="str">
        <f>IF(OR(Adamastor!GUARD_LV&gt;=8,B17="x"),"x","")</f>
        <v>x</v>
      </c>
      <c r="B17" s="17" t="s">
        <v>30</v>
      </c>
      <c r="C17" s="18" t="s">
        <v>74</v>
      </c>
      <c r="D17" s="35">
        <f t="shared" si="15"/>
        <v>30600</v>
      </c>
      <c r="E17" s="36">
        <v>9180</v>
      </c>
      <c r="F17" s="34">
        <v>1</v>
      </c>
      <c r="G17" s="37">
        <f t="shared" si="16"/>
        <v>280908000</v>
      </c>
      <c r="H17" s="34">
        <f t="shared" si="17"/>
        <v>18</v>
      </c>
      <c r="I17" s="34">
        <f t="shared" si="18"/>
        <v>1.8</v>
      </c>
      <c r="J17" s="34">
        <f t="shared" si="19"/>
        <v>1.98</v>
      </c>
      <c r="K17" s="38" t="str">
        <f t="shared" si="20"/>
        <v>Purifyer I  ................ 30 600</v>
      </c>
      <c r="L17" s="1"/>
      <c r="V17" s="35">
        <f t="shared" si="21"/>
        <v>30600</v>
      </c>
      <c r="W17" s="45">
        <v>45600</v>
      </c>
      <c r="X17" s="11">
        <f t="shared" si="22"/>
        <v>3060</v>
      </c>
      <c r="Y17" s="45">
        <f t="shared" si="23"/>
        <v>91800</v>
      </c>
      <c r="Z17" s="45">
        <f t="shared" si="24"/>
        <v>46200</v>
      </c>
      <c r="AA17" s="11">
        <v>110915</v>
      </c>
      <c r="AB17" s="45">
        <f t="shared" si="25"/>
        <v>-19115</v>
      </c>
      <c r="AD17" s="11">
        <f t="shared" si="26"/>
        <v>306000</v>
      </c>
      <c r="AE17" s="11">
        <f t="shared" si="27"/>
        <v>110915</v>
      </c>
      <c r="AF17" s="11">
        <f t="shared" si="12"/>
        <v>-195085</v>
      </c>
    </row>
    <row r="18" spans="1:32" ht="15.75" customHeight="1" x14ac:dyDescent="0.2">
      <c r="A18" s="34" t="str">
        <f>IF(OR(Adamastor!GUARD_LV&gt;=8,B18="x"),"x","")</f>
        <v>x</v>
      </c>
      <c r="B18" s="17" t="s">
        <v>30</v>
      </c>
      <c r="C18" s="18" t="s">
        <v>75</v>
      </c>
      <c r="D18" s="35">
        <f t="shared" si="15"/>
        <v>15300</v>
      </c>
      <c r="E18" s="36">
        <v>18360</v>
      </c>
      <c r="F18" s="34">
        <v>2</v>
      </c>
      <c r="G18" s="37">
        <f t="shared" si="16"/>
        <v>280908000</v>
      </c>
      <c r="H18" s="34">
        <f t="shared" si="17"/>
        <v>18</v>
      </c>
      <c r="I18" s="34">
        <f t="shared" si="18"/>
        <v>1.8</v>
      </c>
      <c r="J18" s="34">
        <f t="shared" si="19"/>
        <v>1.98</v>
      </c>
      <c r="K18" s="38" t="str">
        <f t="shared" si="20"/>
        <v>Smiter I  .................. 15 300</v>
      </c>
      <c r="L18" s="1"/>
      <c r="M18" s="1"/>
      <c r="O18" s="11"/>
      <c r="V18" s="35">
        <f t="shared" si="21"/>
        <v>15300</v>
      </c>
      <c r="W18" s="45">
        <f>22800</f>
        <v>22800</v>
      </c>
      <c r="X18" s="11">
        <f t="shared" si="22"/>
        <v>1530</v>
      </c>
      <c r="Y18" s="45">
        <f t="shared" si="23"/>
        <v>45900</v>
      </c>
      <c r="Z18" s="45">
        <f t="shared" si="24"/>
        <v>23100</v>
      </c>
      <c r="AA18" s="11">
        <v>55445</v>
      </c>
      <c r="AB18" s="45">
        <f t="shared" si="25"/>
        <v>-9545</v>
      </c>
      <c r="AD18" s="11">
        <f t="shared" si="26"/>
        <v>153000</v>
      </c>
      <c r="AE18" s="11">
        <f t="shared" si="27"/>
        <v>55445</v>
      </c>
      <c r="AF18" s="11">
        <f t="shared" si="12"/>
        <v>-97555</v>
      </c>
    </row>
    <row r="19" spans="1:32" ht="15.75" customHeight="1" x14ac:dyDescent="0.2">
      <c r="A19" s="34" t="str">
        <f>IF(OR(Adamastor!GUARD_LV&gt;=8,B19="x"),"x","")</f>
        <v>x</v>
      </c>
      <c r="B19" s="17" t="s">
        <v>30</v>
      </c>
      <c r="C19" s="18" t="s">
        <v>76</v>
      </c>
      <c r="D19" s="35">
        <f t="shared" si="15"/>
        <v>1530</v>
      </c>
      <c r="E19" s="36">
        <v>183600</v>
      </c>
      <c r="F19" s="34">
        <v>20</v>
      </c>
      <c r="G19" s="37">
        <f t="shared" si="16"/>
        <v>280908000</v>
      </c>
      <c r="H19" s="34">
        <f t="shared" si="17"/>
        <v>18</v>
      </c>
      <c r="I19" s="34">
        <f t="shared" si="18"/>
        <v>1.8</v>
      </c>
      <c r="J19" s="34">
        <f t="shared" si="19"/>
        <v>1.98</v>
      </c>
      <c r="K19" s="38" t="str">
        <f t="shared" si="20"/>
        <v>Corax I  ................... 1 530</v>
      </c>
      <c r="L19" s="1"/>
      <c r="N19" s="1" t="s">
        <v>107</v>
      </c>
      <c r="O19" s="11" t="s">
        <v>108</v>
      </c>
      <c r="P19" s="11" t="s">
        <v>109</v>
      </c>
      <c r="Q19" s="11" t="s">
        <v>110</v>
      </c>
      <c r="R19" s="11" t="s">
        <v>111</v>
      </c>
      <c r="S19" s="11" t="s">
        <v>112</v>
      </c>
      <c r="V19" s="35">
        <f t="shared" si="21"/>
        <v>1530</v>
      </c>
      <c r="W19" s="45">
        <v>2280</v>
      </c>
      <c r="X19" s="11">
        <f t="shared" si="22"/>
        <v>153</v>
      </c>
      <c r="Y19" s="45">
        <f t="shared" si="23"/>
        <v>4590</v>
      </c>
      <c r="Z19" s="45">
        <f t="shared" si="24"/>
        <v>2310</v>
      </c>
      <c r="AA19" s="11">
        <v>6292</v>
      </c>
      <c r="AB19" s="45">
        <f t="shared" si="25"/>
        <v>-1702</v>
      </c>
      <c r="AD19" s="11">
        <f t="shared" si="26"/>
        <v>15300</v>
      </c>
      <c r="AE19" s="11">
        <f t="shared" si="27"/>
        <v>6292</v>
      </c>
      <c r="AF19" s="11">
        <f t="shared" si="12"/>
        <v>-9008</v>
      </c>
    </row>
    <row r="20" spans="1:32" ht="15.75" customHeight="1" x14ac:dyDescent="0.2">
      <c r="A20" s="34" t="str">
        <f>IF(OR(Adamastor!SPEC_LV&gt;=8,B20="x"),"x","")</f>
        <v>x</v>
      </c>
      <c r="B20" s="17" t="s">
        <v>30</v>
      </c>
      <c r="C20" s="18" t="s">
        <v>77</v>
      </c>
      <c r="D20" s="35">
        <f t="shared" si="15"/>
        <v>29600</v>
      </c>
      <c r="E20" s="36">
        <v>9180</v>
      </c>
      <c r="F20" s="34">
        <v>1</v>
      </c>
      <c r="G20" s="37">
        <f t="shared" si="16"/>
        <v>271728000</v>
      </c>
      <c r="H20" s="34">
        <f t="shared" ref="H20:H23" si="28">IF(A20="x",MAX(H$25:H$32)+6,0)</f>
        <v>12</v>
      </c>
      <c r="I20" s="34">
        <f t="shared" si="18"/>
        <v>1.8</v>
      </c>
      <c r="J20" s="34">
        <f t="shared" si="19"/>
        <v>1.92</v>
      </c>
      <c r="K20" s="38" t="str">
        <f t="shared" si="20"/>
        <v>Duelist I  ................. 29 600</v>
      </c>
      <c r="L20" s="1"/>
      <c r="N20" s="1">
        <v>311</v>
      </c>
      <c r="O20" s="11">
        <v>308</v>
      </c>
      <c r="P20" s="11">
        <v>288</v>
      </c>
      <c r="Q20" s="11">
        <v>334</v>
      </c>
      <c r="V20" s="46">
        <f t="shared" si="21"/>
        <v>29600</v>
      </c>
      <c r="W20" s="47">
        <v>45600</v>
      </c>
      <c r="X20" s="48">
        <v>0</v>
      </c>
      <c r="Y20" s="47">
        <f t="shared" si="23"/>
        <v>29600</v>
      </c>
      <c r="Z20" s="48">
        <f t="shared" si="24"/>
        <v>0</v>
      </c>
      <c r="AA20" s="48">
        <v>35901</v>
      </c>
      <c r="AB20" s="47">
        <f t="shared" si="25"/>
        <v>-6301</v>
      </c>
      <c r="AD20" s="45">
        <f t="shared" ref="AD20:AD23" si="29">V20</f>
        <v>29600</v>
      </c>
      <c r="AE20" s="11">
        <f t="shared" si="27"/>
        <v>35901</v>
      </c>
      <c r="AF20" s="45">
        <f t="shared" si="12"/>
        <v>6301</v>
      </c>
    </row>
    <row r="21" spans="1:32" ht="15.75" customHeight="1" x14ac:dyDescent="0.2">
      <c r="A21" s="34" t="str">
        <f>IF(OR(Adamastor!SPEC_LV&gt;=8,B21="x"),"x","")</f>
        <v>x</v>
      </c>
      <c r="B21" s="17" t="s">
        <v>30</v>
      </c>
      <c r="C21" s="18" t="s">
        <v>78</v>
      </c>
      <c r="D21" s="35">
        <f t="shared" si="15"/>
        <v>29600</v>
      </c>
      <c r="E21" s="36">
        <v>9180</v>
      </c>
      <c r="F21" s="34">
        <v>1</v>
      </c>
      <c r="G21" s="37">
        <f t="shared" si="16"/>
        <v>271728000</v>
      </c>
      <c r="H21" s="34">
        <f t="shared" si="28"/>
        <v>12</v>
      </c>
      <c r="I21" s="34">
        <f t="shared" si="18"/>
        <v>1.8</v>
      </c>
      <c r="J21" s="34">
        <f t="shared" si="19"/>
        <v>1.92</v>
      </c>
      <c r="K21" s="38" t="str">
        <f t="shared" si="20"/>
        <v>Legitimist I  .............. 29 600</v>
      </c>
      <c r="L21" s="1"/>
      <c r="M21" s="11" t="s">
        <v>111</v>
      </c>
      <c r="N21" s="1">
        <v>168800</v>
      </c>
      <c r="O21" s="11">
        <v>83200</v>
      </c>
      <c r="P21" s="11">
        <v>75200</v>
      </c>
      <c r="Q21" s="11">
        <v>93600</v>
      </c>
      <c r="R21" s="11">
        <v>810407</v>
      </c>
      <c r="S21" s="49">
        <f>(R21/(N21+O21+P21+Q21))-1</f>
        <v>0.92587214828897335</v>
      </c>
      <c r="V21" s="46">
        <f t="shared" si="21"/>
        <v>29600</v>
      </c>
      <c r="W21" s="47">
        <v>45600</v>
      </c>
      <c r="X21" s="48">
        <v>0</v>
      </c>
      <c r="Y21" s="47">
        <f t="shared" si="23"/>
        <v>29600</v>
      </c>
      <c r="Z21" s="48">
        <f t="shared" si="24"/>
        <v>0</v>
      </c>
      <c r="AA21" s="48">
        <v>39813</v>
      </c>
      <c r="AB21" s="47">
        <f t="shared" si="25"/>
        <v>-10213</v>
      </c>
      <c r="AD21" s="45">
        <f t="shared" si="29"/>
        <v>29600</v>
      </c>
      <c r="AE21" s="11">
        <f t="shared" si="27"/>
        <v>39813</v>
      </c>
      <c r="AF21" s="45">
        <f t="shared" si="12"/>
        <v>10213</v>
      </c>
    </row>
    <row r="22" spans="1:32" ht="15.75" customHeight="1" x14ac:dyDescent="0.2">
      <c r="A22" s="34" t="str">
        <f>IF(OR(Adamastor!SPEC_LV&gt;=8,B22="x"),"x","")</f>
        <v>x</v>
      </c>
      <c r="B22" s="17" t="s">
        <v>30</v>
      </c>
      <c r="C22" s="18" t="s">
        <v>79</v>
      </c>
      <c r="D22" s="35">
        <f t="shared" si="15"/>
        <v>14800</v>
      </c>
      <c r="E22" s="36">
        <v>18360</v>
      </c>
      <c r="F22" s="34">
        <v>2</v>
      </c>
      <c r="G22" s="37">
        <f t="shared" si="16"/>
        <v>271728000</v>
      </c>
      <c r="H22" s="34">
        <f t="shared" si="28"/>
        <v>12</v>
      </c>
      <c r="I22" s="34">
        <f t="shared" si="18"/>
        <v>1.8</v>
      </c>
      <c r="J22" s="34">
        <f t="shared" si="19"/>
        <v>1.92</v>
      </c>
      <c r="K22" s="38" t="str">
        <f t="shared" si="20"/>
        <v>Whitemane I  ............... 14 800</v>
      </c>
      <c r="L22" s="1"/>
      <c r="M22" s="1"/>
      <c r="R22" s="11">
        <f>N21+O21+P21+Q21</f>
        <v>420800</v>
      </c>
      <c r="V22" s="46">
        <f t="shared" si="21"/>
        <v>14800</v>
      </c>
      <c r="W22" s="47">
        <f>22800</f>
        <v>22800</v>
      </c>
      <c r="X22" s="48">
        <v>0</v>
      </c>
      <c r="Y22" s="47">
        <f t="shared" si="23"/>
        <v>14800</v>
      </c>
      <c r="Z22" s="48">
        <f t="shared" si="24"/>
        <v>0</v>
      </c>
      <c r="AA22" s="48">
        <v>19496</v>
      </c>
      <c r="AB22" s="47">
        <f t="shared" si="25"/>
        <v>-4696</v>
      </c>
      <c r="AD22" s="45">
        <f t="shared" si="29"/>
        <v>14800</v>
      </c>
      <c r="AE22" s="11">
        <f t="shared" si="27"/>
        <v>19496</v>
      </c>
      <c r="AF22" s="45">
        <f t="shared" si="12"/>
        <v>4696</v>
      </c>
    </row>
    <row r="23" spans="1:32" ht="15.75" customHeight="1" x14ac:dyDescent="0.2">
      <c r="A23" s="34" t="str">
        <f>IF(OR(Adamastor!SPEC_LV&gt;=8,B23="x"),"x","")</f>
        <v>x</v>
      </c>
      <c r="B23" s="17" t="s">
        <v>30</v>
      </c>
      <c r="C23" s="18" t="s">
        <v>80</v>
      </c>
      <c r="D23" s="35">
        <f t="shared" si="15"/>
        <v>1480</v>
      </c>
      <c r="E23" s="36">
        <v>183600</v>
      </c>
      <c r="F23" s="34">
        <v>20</v>
      </c>
      <c r="G23" s="37">
        <f t="shared" si="16"/>
        <v>271728000</v>
      </c>
      <c r="H23" s="34">
        <f t="shared" si="28"/>
        <v>12</v>
      </c>
      <c r="I23" s="34">
        <f t="shared" si="18"/>
        <v>1.8</v>
      </c>
      <c r="J23" s="34">
        <f t="shared" si="19"/>
        <v>1.92</v>
      </c>
      <c r="K23" s="38" t="str">
        <f t="shared" si="20"/>
        <v>Royal Lion I  .............. 1 480</v>
      </c>
      <c r="L23" s="1"/>
      <c r="M23" s="1"/>
      <c r="V23" s="46">
        <f t="shared" si="21"/>
        <v>1480</v>
      </c>
      <c r="W23" s="47">
        <v>2280</v>
      </c>
      <c r="X23" s="48">
        <v>0</v>
      </c>
      <c r="Y23" s="47">
        <f t="shared" si="23"/>
        <v>1480</v>
      </c>
      <c r="Z23" s="48">
        <f t="shared" si="24"/>
        <v>0</v>
      </c>
      <c r="AA23" s="48">
        <v>2970</v>
      </c>
      <c r="AB23" s="47">
        <f t="shared" si="25"/>
        <v>-1490</v>
      </c>
      <c r="AD23" s="45">
        <f t="shared" si="29"/>
        <v>1480</v>
      </c>
      <c r="AE23" s="11">
        <f t="shared" si="27"/>
        <v>2970</v>
      </c>
      <c r="AF23" s="45">
        <f t="shared" si="12"/>
        <v>1490</v>
      </c>
    </row>
    <row r="24" spans="1:32" ht="15.75" customHeight="1" x14ac:dyDescent="0.2">
      <c r="A24" s="12"/>
      <c r="B24" s="13"/>
      <c r="C24" s="14" t="s">
        <v>81</v>
      </c>
      <c r="D24" s="25"/>
      <c r="E24" s="31"/>
      <c r="F24" s="13"/>
      <c r="G24" s="31"/>
      <c r="H24" s="13"/>
      <c r="I24" s="13"/>
      <c r="J24" s="32"/>
      <c r="K24" s="33" t="str">
        <f>IF(COUNTIF(A25:A32,"x")&gt;=1,"--- lv.7 ---","")</f>
        <v>--- lv.7 ---</v>
      </c>
      <c r="L24" s="1"/>
      <c r="M24" s="1"/>
      <c r="V24" s="25"/>
      <c r="AF24" s="11">
        <f t="shared" si="12"/>
        <v>0</v>
      </c>
    </row>
    <row r="25" spans="1:32" ht="15.75" customHeight="1" x14ac:dyDescent="0.2">
      <c r="A25" s="34" t="str">
        <f>IF(OR(Adamastor!GUARD_LV&lt;9,B25="x"),"x","")</f>
        <v>x</v>
      </c>
      <c r="B25" s="17" t="s">
        <v>30</v>
      </c>
      <c r="C25" s="18" t="s">
        <v>82</v>
      </c>
      <c r="D25" s="35">
        <f t="shared" ref="D25:D32" si="30">IF(A25="x",(ROUNDDOWN(J25/SUM($J$7:$J$32)*$D$1,-2))/F25,)</f>
        <v>51000</v>
      </c>
      <c r="E25" s="36">
        <v>5100</v>
      </c>
      <c r="F25" s="34">
        <v>1</v>
      </c>
      <c r="G25" s="37">
        <f t="shared" ref="G25:G32" si="31">D25*E25</f>
        <v>260100000</v>
      </c>
      <c r="H25" s="34">
        <f t="shared" ref="H25:H28" si="32">IF(A25="x",MAX(H$29:H$32)+6,)</f>
        <v>6</v>
      </c>
      <c r="I25" s="34">
        <f t="shared" ref="I25:I32" si="33">IF(A25="x",3.24,)</f>
        <v>3.24</v>
      </c>
      <c r="J25" s="34">
        <f t="shared" ref="J25:J32" si="34">I25+(H25/100)</f>
        <v>3.3000000000000003</v>
      </c>
      <c r="K25" s="38" t="str">
        <f t="shared" ref="K25:K32" si="35">IF(A25="x",C25&amp;"  "&amp;REPT(".",26-LEN(C25))&amp;" "&amp;TEXT(ROUND(D25,0),"# ###"),"")</f>
        <v>Halberdier VII  ............ 51 000</v>
      </c>
      <c r="L25" s="1"/>
      <c r="M25" s="1"/>
      <c r="V25" s="35">
        <f t="shared" ref="V25:V32" si="36">D25*V$5</f>
        <v>51000</v>
      </c>
      <c r="W25" s="45">
        <v>45600</v>
      </c>
      <c r="X25" s="11">
        <f t="shared" ref="X25:X28" si="37">TRUNC(V25*0.1,0)</f>
        <v>5100</v>
      </c>
      <c r="Y25" s="45">
        <f t="shared" ref="Y25:Y32" si="38">V25+X25*Y$5</f>
        <v>153000</v>
      </c>
      <c r="Z25" s="45">
        <f t="shared" ref="Z25:Z32" si="39">IF(Y25&gt;W25,Y25-W25,0)</f>
        <v>107400</v>
      </c>
      <c r="AA25" s="11">
        <v>153000</v>
      </c>
      <c r="AB25" s="45">
        <f t="shared" ref="AB25:AB32" si="40">Y25-AA25</f>
        <v>0</v>
      </c>
      <c r="AD25" s="11">
        <f t="shared" ref="AD25:AD28" si="41">V25*AD$5</f>
        <v>510000</v>
      </c>
      <c r="AE25" s="11">
        <f t="shared" ref="AE25:AE32" si="42">AA25</f>
        <v>153000</v>
      </c>
      <c r="AF25" s="11">
        <f t="shared" si="12"/>
        <v>-357000</v>
      </c>
    </row>
    <row r="26" spans="1:32" ht="15.75" customHeight="1" x14ac:dyDescent="0.2">
      <c r="A26" s="34" t="str">
        <f>IF(OR(Adamastor!GUARD_LV&lt;9,B26="x"),"x","")</f>
        <v>x</v>
      </c>
      <c r="B26" s="17" t="s">
        <v>30</v>
      </c>
      <c r="C26" s="18" t="s">
        <v>83</v>
      </c>
      <c r="D26" s="35">
        <f t="shared" si="30"/>
        <v>51000</v>
      </c>
      <c r="E26" s="36">
        <v>5100</v>
      </c>
      <c r="F26" s="34">
        <v>1</v>
      </c>
      <c r="G26" s="37">
        <f t="shared" si="31"/>
        <v>260100000</v>
      </c>
      <c r="H26" s="34">
        <f t="shared" si="32"/>
        <v>6</v>
      </c>
      <c r="I26" s="34">
        <f t="shared" si="33"/>
        <v>3.24</v>
      </c>
      <c r="J26" s="34">
        <f t="shared" si="34"/>
        <v>3.3000000000000003</v>
      </c>
      <c r="K26" s="38" t="str">
        <f t="shared" si="35"/>
        <v>Arbalester VII  ............ 51 000</v>
      </c>
      <c r="L26" s="1"/>
      <c r="M26" s="1"/>
      <c r="V26" s="35">
        <f t="shared" si="36"/>
        <v>51000</v>
      </c>
      <c r="W26" s="45">
        <v>45600</v>
      </c>
      <c r="X26" s="11">
        <f t="shared" si="37"/>
        <v>5100</v>
      </c>
      <c r="Y26" s="45">
        <f t="shared" si="38"/>
        <v>153000</v>
      </c>
      <c r="Z26" s="45">
        <f t="shared" si="39"/>
        <v>107400</v>
      </c>
      <c r="AA26" s="11">
        <v>153000</v>
      </c>
      <c r="AB26" s="45">
        <f t="shared" si="40"/>
        <v>0</v>
      </c>
      <c r="AD26" s="11">
        <f t="shared" si="41"/>
        <v>510000</v>
      </c>
      <c r="AE26" s="11">
        <f t="shared" si="42"/>
        <v>153000</v>
      </c>
      <c r="AF26" s="11">
        <f t="shared" si="12"/>
        <v>-357000</v>
      </c>
    </row>
    <row r="27" spans="1:32" ht="15.75" customHeight="1" x14ac:dyDescent="0.2">
      <c r="A27" s="34" t="str">
        <f>IF(OR(Adamastor!GUARD_LV&lt;9,B27="x"),"x","")</f>
        <v>x</v>
      </c>
      <c r="B27" s="17" t="s">
        <v>30</v>
      </c>
      <c r="C27" s="18" t="s">
        <v>84</v>
      </c>
      <c r="D27" s="35">
        <f t="shared" si="30"/>
        <v>25500</v>
      </c>
      <c r="E27" s="36">
        <v>10200</v>
      </c>
      <c r="F27" s="34">
        <v>2</v>
      </c>
      <c r="G27" s="37">
        <f t="shared" si="31"/>
        <v>260100000</v>
      </c>
      <c r="H27" s="34">
        <f t="shared" si="32"/>
        <v>6</v>
      </c>
      <c r="I27" s="34">
        <f t="shared" si="33"/>
        <v>3.24</v>
      </c>
      <c r="J27" s="34">
        <f t="shared" si="34"/>
        <v>3.3000000000000003</v>
      </c>
      <c r="K27" s="38" t="str">
        <f t="shared" si="35"/>
        <v>Knight VII  ................ 25 500</v>
      </c>
      <c r="L27" s="1"/>
      <c r="M27" s="1"/>
      <c r="V27" s="35">
        <f t="shared" si="36"/>
        <v>25500</v>
      </c>
      <c r="W27" s="45">
        <f>22800</f>
        <v>22800</v>
      </c>
      <c r="X27" s="11">
        <f t="shared" si="37"/>
        <v>2550</v>
      </c>
      <c r="Y27" s="45">
        <f t="shared" si="38"/>
        <v>76500</v>
      </c>
      <c r="Z27" s="45">
        <f t="shared" si="39"/>
        <v>53700</v>
      </c>
      <c r="AA27" s="11">
        <v>76500</v>
      </c>
      <c r="AB27" s="45">
        <f t="shared" si="40"/>
        <v>0</v>
      </c>
      <c r="AD27" s="11">
        <f t="shared" si="41"/>
        <v>255000</v>
      </c>
      <c r="AE27" s="11">
        <f t="shared" si="42"/>
        <v>76500</v>
      </c>
      <c r="AF27" s="11">
        <f t="shared" si="12"/>
        <v>-178500</v>
      </c>
    </row>
    <row r="28" spans="1:32" ht="15.75" customHeight="1" x14ac:dyDescent="0.2">
      <c r="A28" s="34" t="str">
        <f>IF(OR(Adamastor!GUARD_LV&lt;9,B28="x"),"x","")</f>
        <v>x</v>
      </c>
      <c r="B28" s="17" t="s">
        <v>30</v>
      </c>
      <c r="C28" s="18" t="s">
        <v>85</v>
      </c>
      <c r="D28" s="35">
        <f t="shared" si="30"/>
        <v>2550</v>
      </c>
      <c r="E28" s="36">
        <v>102000</v>
      </c>
      <c r="F28" s="34">
        <v>20</v>
      </c>
      <c r="G28" s="37">
        <f t="shared" si="31"/>
        <v>260100000</v>
      </c>
      <c r="H28" s="34">
        <f t="shared" si="32"/>
        <v>6</v>
      </c>
      <c r="I28" s="34">
        <f t="shared" si="33"/>
        <v>3.24</v>
      </c>
      <c r="J28" s="34">
        <f t="shared" si="34"/>
        <v>3.3000000000000003</v>
      </c>
      <c r="K28" s="38" t="str">
        <f t="shared" si="35"/>
        <v>Griffin VII  ............... 2 550</v>
      </c>
      <c r="L28" s="1"/>
      <c r="M28" s="1"/>
      <c r="V28" s="35">
        <f t="shared" si="36"/>
        <v>2550</v>
      </c>
      <c r="W28" s="45">
        <v>2280</v>
      </c>
      <c r="X28" s="11">
        <f t="shared" si="37"/>
        <v>255</v>
      </c>
      <c r="Y28" s="45">
        <f t="shared" si="38"/>
        <v>7650</v>
      </c>
      <c r="Z28" s="45">
        <f t="shared" si="39"/>
        <v>5370</v>
      </c>
      <c r="AA28" s="11">
        <v>7650</v>
      </c>
      <c r="AB28" s="45">
        <f t="shared" si="40"/>
        <v>0</v>
      </c>
      <c r="AD28" s="11">
        <f t="shared" si="41"/>
        <v>25500</v>
      </c>
      <c r="AE28" s="11">
        <f t="shared" si="42"/>
        <v>7650</v>
      </c>
      <c r="AF28" s="11">
        <f t="shared" si="12"/>
        <v>-17850</v>
      </c>
    </row>
    <row r="29" spans="1:32" ht="15.75" customHeight="1" x14ac:dyDescent="0.2">
      <c r="A29" s="34" t="str">
        <f>IF(OR(Adamastor!GUARD_LV&lt;9,Adamastor!SPEC_LV&lt;8,B29="x"),"x","")</f>
        <v>x</v>
      </c>
      <c r="B29" s="17" t="s">
        <v>30</v>
      </c>
      <c r="C29" s="18" t="s">
        <v>86</v>
      </c>
      <c r="D29" s="35">
        <f t="shared" si="30"/>
        <v>50000</v>
      </c>
      <c r="E29" s="36">
        <v>5100</v>
      </c>
      <c r="F29" s="34">
        <v>1</v>
      </c>
      <c r="G29" s="37">
        <f t="shared" si="31"/>
        <v>255000000</v>
      </c>
      <c r="H29" s="34"/>
      <c r="I29" s="34">
        <f t="shared" si="33"/>
        <v>3.24</v>
      </c>
      <c r="J29" s="34">
        <f t="shared" si="34"/>
        <v>3.24</v>
      </c>
      <c r="K29" s="38" t="str">
        <f t="shared" si="35"/>
        <v>Heavy Knight VII  .......... 50 000</v>
      </c>
      <c r="L29" s="1"/>
      <c r="M29" s="1"/>
      <c r="O29" s="11">
        <f>112*10*0.8</f>
        <v>896</v>
      </c>
      <c r="V29" s="46">
        <f t="shared" si="36"/>
        <v>50000</v>
      </c>
      <c r="W29" s="47">
        <v>45600</v>
      </c>
      <c r="X29" s="48">
        <v>0</v>
      </c>
      <c r="Y29" s="47">
        <f t="shared" si="38"/>
        <v>50000</v>
      </c>
      <c r="Z29" s="47">
        <f t="shared" si="39"/>
        <v>4400</v>
      </c>
      <c r="AA29" s="48">
        <v>62976</v>
      </c>
      <c r="AB29" s="47">
        <f t="shared" si="40"/>
        <v>-12976</v>
      </c>
      <c r="AD29" s="45">
        <f t="shared" ref="AD29:AD32" si="43">V29</f>
        <v>50000</v>
      </c>
      <c r="AE29" s="11">
        <f t="shared" si="42"/>
        <v>62976</v>
      </c>
      <c r="AF29" s="45">
        <f t="shared" si="12"/>
        <v>12976</v>
      </c>
    </row>
    <row r="30" spans="1:32" ht="15.75" customHeight="1" x14ac:dyDescent="0.2">
      <c r="A30" s="34" t="str">
        <f>IF(OR(Adamastor!GUARD_LV&lt;9,Adamastor!SPEC_LV&lt;8,B30="x"),"x","")</f>
        <v>x</v>
      </c>
      <c r="B30" s="17" t="s">
        <v>30</v>
      </c>
      <c r="C30" s="18" t="s">
        <v>87</v>
      </c>
      <c r="D30" s="35">
        <f t="shared" si="30"/>
        <v>50000</v>
      </c>
      <c r="E30" s="36">
        <v>5100</v>
      </c>
      <c r="F30" s="34">
        <v>1</v>
      </c>
      <c r="G30" s="37">
        <f t="shared" si="31"/>
        <v>255000000</v>
      </c>
      <c r="H30" s="34"/>
      <c r="I30" s="34">
        <f t="shared" si="33"/>
        <v>3.24</v>
      </c>
      <c r="J30" s="34">
        <f t="shared" si="34"/>
        <v>3.24</v>
      </c>
      <c r="K30" s="38" t="str">
        <f t="shared" si="35"/>
        <v>Deadshot VII  .............. 50 000</v>
      </c>
      <c r="L30" s="1"/>
      <c r="M30" s="1"/>
      <c r="V30" s="46">
        <f t="shared" si="36"/>
        <v>50000</v>
      </c>
      <c r="W30" s="47">
        <v>45600</v>
      </c>
      <c r="X30" s="48">
        <v>0</v>
      </c>
      <c r="Y30" s="47">
        <f t="shared" si="38"/>
        <v>50000</v>
      </c>
      <c r="Z30" s="47">
        <f t="shared" si="39"/>
        <v>4400</v>
      </c>
      <c r="AA30" s="48">
        <v>65469</v>
      </c>
      <c r="AB30" s="47">
        <f t="shared" si="40"/>
        <v>-15469</v>
      </c>
      <c r="AD30" s="45">
        <f t="shared" si="43"/>
        <v>50000</v>
      </c>
      <c r="AE30" s="11">
        <f t="shared" si="42"/>
        <v>65469</v>
      </c>
      <c r="AF30" s="45">
        <f t="shared" si="12"/>
        <v>15469</v>
      </c>
    </row>
    <row r="31" spans="1:32" ht="15.75" customHeight="1" x14ac:dyDescent="0.2">
      <c r="A31" s="34" t="str">
        <f>IF(OR(Adamastor!GUARD_LV&lt;9,Adamastor!SPEC_LV&lt;8,B31="x"),"x","")</f>
        <v>x</v>
      </c>
      <c r="B31" s="17" t="s">
        <v>30</v>
      </c>
      <c r="C31" s="18" t="s">
        <v>88</v>
      </c>
      <c r="D31" s="35">
        <f t="shared" si="30"/>
        <v>25000</v>
      </c>
      <c r="E31" s="36">
        <v>10200</v>
      </c>
      <c r="F31" s="34">
        <v>2</v>
      </c>
      <c r="G31" s="37">
        <f t="shared" si="31"/>
        <v>255000000</v>
      </c>
      <c r="H31" s="34"/>
      <c r="I31" s="34">
        <f t="shared" si="33"/>
        <v>3.24</v>
      </c>
      <c r="J31" s="34">
        <f t="shared" si="34"/>
        <v>3.24</v>
      </c>
      <c r="K31" s="38" t="str">
        <f t="shared" si="35"/>
        <v>Lion Rider VII  ............ 25 000</v>
      </c>
      <c r="L31" s="1"/>
      <c r="M31" s="1"/>
      <c r="V31" s="46">
        <f t="shared" si="36"/>
        <v>25000</v>
      </c>
      <c r="W31" s="47">
        <f>22800</f>
        <v>22800</v>
      </c>
      <c r="X31" s="48">
        <v>0</v>
      </c>
      <c r="Y31" s="47">
        <f t="shared" si="38"/>
        <v>25000</v>
      </c>
      <c r="Z31" s="47">
        <f t="shared" si="39"/>
        <v>2200</v>
      </c>
      <c r="AA31" s="48">
        <v>25783</v>
      </c>
      <c r="AB31" s="47">
        <f t="shared" si="40"/>
        <v>-783</v>
      </c>
      <c r="AD31" s="45">
        <f t="shared" si="43"/>
        <v>25000</v>
      </c>
      <c r="AE31" s="11">
        <f t="shared" si="42"/>
        <v>25783</v>
      </c>
      <c r="AF31" s="45">
        <f t="shared" si="12"/>
        <v>783</v>
      </c>
    </row>
    <row r="32" spans="1:32" ht="15.75" customHeight="1" x14ac:dyDescent="0.2">
      <c r="A32" s="34" t="str">
        <f>IF(OR(Adamastor!GUARD_LV&lt;9,Adamastor!SPEC_LV&lt;8,B32="x"),"x","")</f>
        <v>x</v>
      </c>
      <c r="B32" s="17" t="s">
        <v>30</v>
      </c>
      <c r="C32" s="18" t="s">
        <v>89</v>
      </c>
      <c r="D32" s="35">
        <f t="shared" si="30"/>
        <v>50000</v>
      </c>
      <c r="E32" s="36">
        <v>5100</v>
      </c>
      <c r="F32" s="34">
        <v>1</v>
      </c>
      <c r="G32" s="37">
        <f t="shared" si="31"/>
        <v>255000000</v>
      </c>
      <c r="H32" s="34"/>
      <c r="I32" s="34">
        <f t="shared" si="33"/>
        <v>3.24</v>
      </c>
      <c r="J32" s="34">
        <f t="shared" si="34"/>
        <v>3.24</v>
      </c>
      <c r="K32" s="38" t="str">
        <f t="shared" si="35"/>
        <v>Vulture VII  ............... 50 000</v>
      </c>
      <c r="L32" s="1"/>
      <c r="M32" s="1"/>
      <c r="V32" s="46">
        <f t="shared" si="36"/>
        <v>50000</v>
      </c>
      <c r="W32" s="47">
        <v>45600</v>
      </c>
      <c r="X32" s="48">
        <v>0</v>
      </c>
      <c r="Y32" s="47">
        <f t="shared" si="38"/>
        <v>50000</v>
      </c>
      <c r="Z32" s="47">
        <f t="shared" si="39"/>
        <v>4400</v>
      </c>
      <c r="AA32" s="48">
        <v>49563</v>
      </c>
      <c r="AB32" s="47">
        <f t="shared" si="40"/>
        <v>437</v>
      </c>
      <c r="AD32" s="45">
        <f t="shared" si="43"/>
        <v>50000</v>
      </c>
      <c r="AE32" s="11">
        <f t="shared" si="42"/>
        <v>49563</v>
      </c>
      <c r="AF32" s="45">
        <f t="shared" si="12"/>
        <v>-437</v>
      </c>
    </row>
    <row r="33" spans="1:28" ht="15.75" customHeight="1" x14ac:dyDescent="0.2">
      <c r="A33" s="12"/>
      <c r="B33" s="13"/>
      <c r="C33" s="14" t="s">
        <v>49</v>
      </c>
      <c r="D33" s="25"/>
      <c r="E33" s="31"/>
      <c r="F33" s="13"/>
      <c r="G33" s="31"/>
      <c r="H33" s="13"/>
      <c r="I33" s="13"/>
      <c r="J33" s="32"/>
      <c r="K33" s="33" t="s">
        <v>90</v>
      </c>
      <c r="L33" s="1"/>
      <c r="M33" s="1"/>
      <c r="V33" s="25"/>
    </row>
    <row r="34" spans="1:28" ht="15.75" customHeight="1" x14ac:dyDescent="0.2">
      <c r="A34" s="34" t="str">
        <f>IF(OR(Adamastor!MONST_LV&gt;=9,B34="x"),"x","")</f>
        <v>x</v>
      </c>
      <c r="B34" s="17" t="s">
        <v>30</v>
      </c>
      <c r="C34" s="18" t="s">
        <v>91</v>
      </c>
      <c r="D34" s="35" t="e">
        <f t="shared" ref="D34:D36" ca="1" si="44">IF(A34="x", ROUNDDOWN(MINIFS($G$7:$G$32,$G$7:$G$32,"&gt;0")/E34,-1),)</f>
        <v>#NAME?</v>
      </c>
      <c r="E34" s="36">
        <v>3630000</v>
      </c>
      <c r="F34" s="34" t="s">
        <v>14</v>
      </c>
      <c r="G34" s="37" t="e">
        <f t="shared" ref="G34:G36" ca="1" si="45">D34*E34</f>
        <v>#NAME?</v>
      </c>
      <c r="H34" s="34">
        <v>0</v>
      </c>
      <c r="I34" s="34" t="s">
        <v>14</v>
      </c>
      <c r="J34" s="34" t="s">
        <v>14</v>
      </c>
      <c r="K34" s="38" t="e">
        <f t="shared" ref="K34:K36" ca="1" si="46">IF(A34="x",C34&amp;"  "&amp;REPT(".",26-LEN(C34))&amp;" "&amp;TEXT(ROUND(D34,0),"# ###")&amp;" each","")</f>
        <v>#NAME?</v>
      </c>
      <c r="L34" s="1"/>
      <c r="M34" s="1"/>
      <c r="V34" s="35" t="e">
        <f t="shared" ref="V34:V36" ca="1" si="47">D34*V$5</f>
        <v>#NAME?</v>
      </c>
      <c r="W34" s="45">
        <v>200</v>
      </c>
      <c r="X34" s="11">
        <v>0</v>
      </c>
      <c r="Y34" s="45" t="e">
        <f t="shared" ref="Y34:Y36" ca="1" si="48">V34+X34*Y$5</f>
        <v>#NAME?</v>
      </c>
      <c r="Z34" s="11" t="e">
        <f t="shared" ref="Z34:Z36" ca="1" si="49">IF(Y34&gt;W34,Y34-W34,0)</f>
        <v>#NAME?</v>
      </c>
      <c r="AA34" s="11">
        <v>65</v>
      </c>
      <c r="AB34" s="45" t="e">
        <f t="shared" ref="AB34:AB36" ca="1" si="50">Y34-AA34</f>
        <v>#NAME?</v>
      </c>
    </row>
    <row r="35" spans="1:28" ht="15.75" customHeight="1" x14ac:dyDescent="0.2">
      <c r="A35" s="34" t="str">
        <f>IF(OR(Adamastor!MONST_LV&gt;=8,B35="x"),"x","")</f>
        <v>x</v>
      </c>
      <c r="B35" s="17" t="s">
        <v>30</v>
      </c>
      <c r="C35" s="18" t="s">
        <v>92</v>
      </c>
      <c r="D35" s="35" t="e">
        <f t="shared" ca="1" si="44"/>
        <v>#NAME?</v>
      </c>
      <c r="E35" s="36">
        <v>2010000</v>
      </c>
      <c r="F35" s="34" t="s">
        <v>14</v>
      </c>
      <c r="G35" s="37" t="e">
        <f t="shared" ca="1" si="45"/>
        <v>#NAME?</v>
      </c>
      <c r="H35" s="34">
        <v>0</v>
      </c>
      <c r="I35" s="34" t="s">
        <v>14</v>
      </c>
      <c r="J35" s="34" t="s">
        <v>14</v>
      </c>
      <c r="K35" s="38" t="e">
        <f t="shared" ca="1" si="46"/>
        <v>#NAME?</v>
      </c>
      <c r="L35" s="1"/>
      <c r="M35" s="1"/>
      <c r="V35" s="35" t="e">
        <f t="shared" ca="1" si="47"/>
        <v>#NAME?</v>
      </c>
      <c r="W35" s="45">
        <v>200</v>
      </c>
      <c r="X35" s="11">
        <v>0</v>
      </c>
      <c r="Y35" s="45" t="e">
        <f t="shared" ca="1" si="48"/>
        <v>#NAME?</v>
      </c>
      <c r="Z35" s="11" t="e">
        <f t="shared" ca="1" si="49"/>
        <v>#NAME?</v>
      </c>
      <c r="AA35" s="11">
        <v>127</v>
      </c>
      <c r="AB35" s="45" t="e">
        <f t="shared" ca="1" si="50"/>
        <v>#NAME?</v>
      </c>
    </row>
    <row r="36" spans="1:28" ht="15.75" customHeight="1" x14ac:dyDescent="0.2">
      <c r="A36" s="34" t="str">
        <f>IF(OR(Adamastor!GUARD_LV&lt;9,Adamastor!SPEC_LV&lt;8,B36="x"),"x","")</f>
        <v>x</v>
      </c>
      <c r="B36" s="17" t="s">
        <v>30</v>
      </c>
      <c r="C36" s="18" t="s">
        <v>93</v>
      </c>
      <c r="D36" s="35" t="e">
        <f t="shared" ca="1" si="44"/>
        <v>#NAME?</v>
      </c>
      <c r="E36" s="36">
        <v>930000</v>
      </c>
      <c r="F36" s="34" t="s">
        <v>14</v>
      </c>
      <c r="G36" s="37" t="e">
        <f t="shared" ca="1" si="45"/>
        <v>#NAME?</v>
      </c>
      <c r="H36" s="34">
        <v>0</v>
      </c>
      <c r="I36" s="34" t="s">
        <v>14</v>
      </c>
      <c r="J36" s="34" t="s">
        <v>14</v>
      </c>
      <c r="K36" s="38" t="e">
        <f t="shared" ca="1" si="46"/>
        <v>#NAME?</v>
      </c>
      <c r="L36" s="1"/>
      <c r="M36" s="1"/>
      <c r="V36" s="35" t="e">
        <f t="shared" ca="1" si="47"/>
        <v>#NAME?</v>
      </c>
      <c r="W36" s="45">
        <v>250</v>
      </c>
      <c r="X36" s="11">
        <v>0</v>
      </c>
      <c r="Y36" s="45" t="e">
        <f t="shared" ca="1" si="48"/>
        <v>#NAME?</v>
      </c>
      <c r="Z36" s="45" t="e">
        <f t="shared" ca="1" si="49"/>
        <v>#NAME?</v>
      </c>
      <c r="AA36" s="11">
        <v>230</v>
      </c>
      <c r="AB36" s="45" t="e">
        <f t="shared" ca="1" si="50"/>
        <v>#NAME?</v>
      </c>
    </row>
    <row r="37" spans="1:28" ht="15.75" customHeight="1" x14ac:dyDescent="0.2">
      <c r="A37" s="12"/>
      <c r="B37" s="13"/>
      <c r="C37" s="14" t="s">
        <v>50</v>
      </c>
      <c r="D37" s="25"/>
      <c r="E37" s="31"/>
      <c r="F37" s="13"/>
      <c r="G37" s="31"/>
      <c r="H37" s="13"/>
      <c r="I37" s="13"/>
      <c r="J37" s="32"/>
      <c r="K37" s="33" t="s">
        <v>94</v>
      </c>
      <c r="L37" s="1"/>
      <c r="M37" s="1"/>
    </row>
    <row r="38" spans="1:28" ht="15.75" customHeight="1" x14ac:dyDescent="0.2">
      <c r="A38" s="34" t="s">
        <v>30</v>
      </c>
      <c r="B38" s="17"/>
      <c r="C38" s="18" t="s">
        <v>51</v>
      </c>
      <c r="D38" s="35" t="e">
        <f t="shared" ref="D38:D39" ca="1" si="51">ROUNDDOWN(MINIFS($G$7:$G$32,$G$7:$G$32,"&gt;0")/E38,-2)</f>
        <v>#NAME?</v>
      </c>
      <c r="E38" s="36">
        <v>33000</v>
      </c>
      <c r="F38" s="34" t="s">
        <v>14</v>
      </c>
      <c r="G38" s="37" t="e">
        <f t="shared" ref="G38:G41" ca="1" si="52">D38*E38</f>
        <v>#NAME?</v>
      </c>
      <c r="H38" s="39"/>
      <c r="I38" s="34" t="s">
        <v>14</v>
      </c>
      <c r="J38" s="34" t="s">
        <v>14</v>
      </c>
      <c r="K38" s="38" t="e">
        <f ca="1">IF(A38="x",C38&amp;"  "&amp;REPT(".",26-LEN(C38))&amp;" "&amp;TEXT(ROUND(D38,0),"# ###")&amp;" each","")</f>
        <v>#NAME?</v>
      </c>
      <c r="L38" s="1"/>
      <c r="M38" s="1"/>
    </row>
    <row r="39" spans="1:28" ht="15.75" customHeight="1" x14ac:dyDescent="0.2">
      <c r="A39" s="34" t="s">
        <v>30</v>
      </c>
      <c r="B39" s="17"/>
      <c r="C39" s="18" t="s">
        <v>52</v>
      </c>
      <c r="D39" s="35" t="e">
        <f t="shared" ca="1" si="51"/>
        <v>#NAME?</v>
      </c>
      <c r="E39" s="36">
        <v>75000</v>
      </c>
      <c r="F39" s="34" t="s">
        <v>14</v>
      </c>
      <c r="G39" s="37" t="e">
        <f t="shared" ca="1" si="52"/>
        <v>#NAME?</v>
      </c>
      <c r="H39" s="39"/>
      <c r="I39" s="34" t="s">
        <v>14</v>
      </c>
      <c r="J39" s="34" t="s">
        <v>14</v>
      </c>
      <c r="K39" s="38" t="e">
        <f t="shared" ref="K39:K40" ca="1" si="53">IF(A39="x",C39&amp;"  "&amp;REPT(".",26-LEN(C39))&amp;" "&amp;TEXT(ROUND(D39,0),"# ###"),"")</f>
        <v>#NAME?</v>
      </c>
      <c r="L39" s="1"/>
      <c r="M39" s="1"/>
    </row>
    <row r="40" spans="1:28" ht="15.75" customHeight="1" x14ac:dyDescent="0.2">
      <c r="A40" s="34" t="s">
        <v>30</v>
      </c>
      <c r="B40" s="17"/>
      <c r="C40" s="18" t="s">
        <v>95</v>
      </c>
      <c r="D40" s="35" t="e">
        <f t="shared" ref="D40:D41" ca="1" si="54">ROUNDDOWN(MINIFS($G$7:$G$32,$G$7:$G$32,"&gt;0")/E40,-1)</f>
        <v>#NAME?</v>
      </c>
      <c r="E40" s="36">
        <v>2070000</v>
      </c>
      <c r="F40" s="34" t="s">
        <v>14</v>
      </c>
      <c r="G40" s="37" t="e">
        <f t="shared" ca="1" si="52"/>
        <v>#NAME?</v>
      </c>
      <c r="H40" s="39"/>
      <c r="I40" s="34" t="s">
        <v>14</v>
      </c>
      <c r="J40" s="34" t="s">
        <v>14</v>
      </c>
      <c r="K40" s="38" t="e">
        <f t="shared" ca="1" si="53"/>
        <v>#NAME?</v>
      </c>
      <c r="L40" s="1"/>
      <c r="M40" s="1"/>
    </row>
    <row r="41" spans="1:28" ht="15.75" customHeight="1" x14ac:dyDescent="0.2">
      <c r="A41" s="34" t="s">
        <v>30</v>
      </c>
      <c r="B41" s="17"/>
      <c r="C41" s="18" t="s">
        <v>96</v>
      </c>
      <c r="D41" s="35" t="e">
        <f t="shared" ca="1" si="54"/>
        <v>#NAME?</v>
      </c>
      <c r="E41" s="36">
        <v>1410000</v>
      </c>
      <c r="F41" s="34" t="s">
        <v>14</v>
      </c>
      <c r="G41" s="37" t="e">
        <f t="shared" ca="1" si="52"/>
        <v>#NAME?</v>
      </c>
      <c r="H41" s="39"/>
      <c r="I41" s="34" t="s">
        <v>14</v>
      </c>
      <c r="J41" s="34" t="s">
        <v>14</v>
      </c>
      <c r="K41" s="41" t="e">
        <f ca="1">IF(A41="x",C41&amp;"  "&amp;REPT(".",26-LEN(C41))&amp;" "&amp;TEXT(ROUND(D41,0),"# ###")&amp;" each","")</f>
        <v>#NAME?</v>
      </c>
      <c r="L41" s="1"/>
      <c r="M41" s="1"/>
    </row>
  </sheetData>
  <mergeCells count="1">
    <mergeCell ref="K3:K4"/>
  </mergeCells>
  <dataValidations count="1">
    <dataValidation type="decimal" allowBlank="1" showDropDown="1" showErrorMessage="1" sqref="D2:D4">
      <formula1>7</formula1>
      <formula2>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VP Stacking</vt:lpstr>
      <vt:lpstr>Solo CP run table</vt:lpstr>
      <vt:lpstr>Adamastor</vt:lpstr>
      <vt:lpstr>Adamastor!GUARD_LV</vt:lpstr>
      <vt:lpstr>GUARD_LV</vt:lpstr>
      <vt:lpstr>Adamastor!MONST_LV</vt:lpstr>
      <vt:lpstr>MONST_LV</vt:lpstr>
      <vt:lpstr>Adamastor!SPEC_LV</vt:lpstr>
      <vt:lpstr>SPEC_LV</vt:lpstr>
      <vt:lpstr>VP_GUARD_LV</vt:lpstr>
      <vt:lpstr>VP_MONST_LV</vt:lpstr>
      <vt:lpstr>VP_SPEC_LV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Papa-Dragon</dc:creator>
  <cp:lastModifiedBy>Papa-Dragon</cp:lastModifiedBy>
  <dcterms:created xsi:type="dcterms:W3CDTF">2025-08-01T11:29:53Z</dcterms:created>
  <dcterms:modified xsi:type="dcterms:W3CDTF">2025-12-08T10:47:07Z</dcterms:modified>
</cp:coreProperties>
</file>